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-my.sharepoint.com/personal/sph19_fsu_edu/Documents/"/>
    </mc:Choice>
  </mc:AlternateContent>
  <xr:revisionPtr revIDLastSave="2737" documentId="8_{84266797-6AEC-4B5B-8EE7-44493E45CC2E}" xr6:coauthVersionLast="47" xr6:coauthVersionMax="47" xr10:uidLastSave="{7DDB8079-3B4F-4A2C-A5CC-E7C5BCEB6463}"/>
  <bookViews>
    <workbookView xWindow="-108" yWindow="-108" windowWidth="23256" windowHeight="12456" activeTab="2" xr2:uid="{FC0E5577-AB04-44F0-8171-365516FB6939}"/>
  </bookViews>
  <sheets>
    <sheet name="Binary Pairwise Comparison" sheetId="17" r:id="rId1"/>
    <sheet name="HOQ" sheetId="8" r:id="rId2"/>
    <sheet name="Pugh Chart #1" sheetId="4" r:id="rId3"/>
    <sheet name="Pugh Chart #2" sheetId="5" r:id="rId4"/>
    <sheet name="Pugh Chart #3" sheetId="6" r:id="rId5"/>
    <sheet name="AHP" sheetId="13" r:id="rId6"/>
    <sheet name="AHP Design Alternatives" sheetId="14" r:id="rId7"/>
    <sheet name="Final Rating Matrix" sheetId="15" r:id="rId8"/>
    <sheet name="Alternative Value" sheetId="16" r:id="rId9"/>
  </sheets>
  <definedNames>
    <definedName name="C.1">'AHP Design Alternatives'!$C$10:$E$12</definedName>
    <definedName name="C.10">'AHP Design Alternatives'!$BE$10:$BG$12</definedName>
    <definedName name="C.2">'AHP Design Alternatives'!$I$10:$K$12</definedName>
    <definedName name="C.3">'AHP Design Alternatives'!$O$10:$Q$12</definedName>
    <definedName name="C.4">'AHP Design Alternatives'!$U$10:$W$12</definedName>
    <definedName name="C.5">'AHP Design Alternatives'!$AA$10:$AC$12</definedName>
    <definedName name="C.6">'AHP Design Alternatives'!$AG$10:$AI$12</definedName>
    <definedName name="C.7">'AHP Design Alternatives'!$AM$10:$AO$12</definedName>
    <definedName name="C.8">'AHP Design Alternatives'!$AS$10:$AU$12</definedName>
    <definedName name="C.9">'AHP Design Alternatives'!$AY$10:$BA$12</definedName>
    <definedName name="Cfunction">#REF!</definedName>
    <definedName name="Cfunctiontest">#REF!</definedName>
    <definedName name="Cnoiselevel">#REF!</definedName>
    <definedName name="CriteriaWeights">AHP!$AB$3:$AB$13</definedName>
    <definedName name="Ctest">AHP!$C$3:$L$12</definedName>
    <definedName name="FinalRating">'Final Rating Matrix'!$C$4:$E$13</definedName>
    <definedName name="MatrixC">#REF!</definedName>
    <definedName name="P.1">'AHP Design Alternatives'!$F$18:$F$20</definedName>
    <definedName name="P.10">'AHP Design Alternatives'!$BH$18:$BH$20</definedName>
    <definedName name="P.2">'AHP Design Alternatives'!$L$18:$L$20</definedName>
    <definedName name="P.3">'AHP Design Alternatives'!$R$18:$R$20</definedName>
    <definedName name="P.4">'AHP Design Alternatives'!$X$18:$X$20</definedName>
    <definedName name="P.5">'AHP Design Alternatives'!$AD$18:$AD$20</definedName>
    <definedName name="P.6">'AHP Design Alternatives'!$AJ$18:$AJ$20</definedName>
    <definedName name="P.7">'AHP Design Alternatives'!$AP$18:$AP$20</definedName>
    <definedName name="P.8">'AHP Design Alternatives'!$AV$18:$AV$20</definedName>
    <definedName name="P.9">'AHP Design Alternatives'!$BB$18:$BB$20</definedName>
    <definedName name="SumTest">#REF!</definedName>
    <definedName name="Test">#REF!</definedName>
    <definedName name="Wfunction">#REF!</definedName>
    <definedName name="Wfunction2">#REF!</definedName>
    <definedName name="Wfunction3">#REF!</definedName>
    <definedName name="Wfunctiontest">#REF!</definedName>
    <definedName name="Wtest">AHP!$AB$3:$AB$12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4" l="1"/>
  <c r="E3" i="13"/>
  <c r="K11" i="14"/>
  <c r="L11" i="13"/>
  <c r="C4" i="15" a="1"/>
  <c r="C4" i="15" s="1"/>
  <c r="BA11" i="14"/>
  <c r="W11" i="14"/>
  <c r="W10" i="14"/>
  <c r="AL25" i="14" a="1"/>
  <c r="AL25" i="14" s="1"/>
  <c r="Z25" i="14" a="1"/>
  <c r="Z25" i="14" s="1"/>
  <c r="B25" i="14" a="1"/>
  <c r="B25" i="14" s="1"/>
  <c r="BG13" i="14" l="1"/>
  <c r="BG19" i="14" s="1"/>
  <c r="BF12" i="14"/>
  <c r="BE12" i="14"/>
  <c r="BE11" i="14"/>
  <c r="BA13" i="14"/>
  <c r="BA20" i="14" s="1"/>
  <c r="AZ12" i="14"/>
  <c r="AZ13" i="14" s="1"/>
  <c r="AZ20" i="14" s="1"/>
  <c r="AY12" i="14"/>
  <c r="AY11" i="14"/>
  <c r="AY13" i="14" s="1"/>
  <c r="AU13" i="14"/>
  <c r="AU19" i="14" s="1"/>
  <c r="AT12" i="14"/>
  <c r="AS12" i="14"/>
  <c r="AS11" i="14"/>
  <c r="F5" i="13"/>
  <c r="E4" i="13"/>
  <c r="L10" i="13"/>
  <c r="L9" i="13"/>
  <c r="H5" i="13"/>
  <c r="G5" i="13"/>
  <c r="I5" i="13"/>
  <c r="L4" i="13"/>
  <c r="K4" i="13"/>
  <c r="J4" i="13"/>
  <c r="I4" i="13"/>
  <c r="L3" i="13"/>
  <c r="K3" i="13"/>
  <c r="J3" i="13"/>
  <c r="I3" i="13"/>
  <c r="H3" i="13"/>
  <c r="H4" i="13"/>
  <c r="BE13" i="14" l="1"/>
  <c r="BE18" i="14" s="1"/>
  <c r="AU18" i="14"/>
  <c r="BG18" i="14"/>
  <c r="BG20" i="14"/>
  <c r="BA19" i="14"/>
  <c r="AU20" i="14"/>
  <c r="BE20" i="14"/>
  <c r="BE19" i="14"/>
  <c r="BF13" i="14"/>
  <c r="AY18" i="14"/>
  <c r="AY20" i="14"/>
  <c r="AY19" i="14"/>
  <c r="AZ19" i="14"/>
  <c r="AZ18" i="14"/>
  <c r="BA18" i="14"/>
  <c r="AS13" i="14"/>
  <c r="AS19" i="14" s="1"/>
  <c r="AT13" i="14"/>
  <c r="G8" i="13"/>
  <c r="E8" i="13"/>
  <c r="D8" i="13"/>
  <c r="G4" i="13"/>
  <c r="F4" i="13"/>
  <c r="G3" i="13"/>
  <c r="F3" i="13"/>
  <c r="K12" i="13"/>
  <c r="I11" i="13"/>
  <c r="I12" i="13"/>
  <c r="I10" i="13"/>
  <c r="H10" i="13"/>
  <c r="H11" i="13"/>
  <c r="H9" i="13"/>
  <c r="G9" i="13"/>
  <c r="G12" i="13"/>
  <c r="G11" i="13"/>
  <c r="G10" i="13"/>
  <c r="F11" i="13"/>
  <c r="F10" i="13"/>
  <c r="F9" i="13"/>
  <c r="F8" i="13"/>
  <c r="E11" i="13"/>
  <c r="E10" i="13"/>
  <c r="E9" i="13"/>
  <c r="D11" i="13"/>
  <c r="C4" i="13"/>
  <c r="BG21" i="14" l="1"/>
  <c r="AZ21" i="14"/>
  <c r="BA21" i="14"/>
  <c r="AU21" i="14"/>
  <c r="BF18" i="14"/>
  <c r="BH18" i="14" s="1"/>
  <c r="BF19" i="14"/>
  <c r="BH19" i="14"/>
  <c r="BE26" i="14"/>
  <c r="BF20" i="14"/>
  <c r="BE27" i="14" s="1"/>
  <c r="BE21" i="14"/>
  <c r="AY25" i="14"/>
  <c r="AY21" i="14"/>
  <c r="BB18" i="14"/>
  <c r="BB19" i="14"/>
  <c r="AY26" i="14"/>
  <c r="AY27" i="14"/>
  <c r="BB20" i="14"/>
  <c r="AT18" i="14"/>
  <c r="AT19" i="14"/>
  <c r="AV19" i="14" s="1"/>
  <c r="AS20" i="14"/>
  <c r="AS18" i="14"/>
  <c r="AT20" i="14"/>
  <c r="C9" i="13"/>
  <c r="D9" i="13"/>
  <c r="D10" i="13"/>
  <c r="J12" i="13"/>
  <c r="C10" i="13"/>
  <c r="C11" i="13"/>
  <c r="C8" i="13"/>
  <c r="J11" i="13"/>
  <c r="K13" i="13"/>
  <c r="Z4" i="13" s="1"/>
  <c r="I13" i="13"/>
  <c r="X10" i="13" s="1"/>
  <c r="BE25" i="14" l="1"/>
  <c r="AX25" i="14" a="1"/>
  <c r="AX25" i="14" s="1"/>
  <c r="AZ25" i="14" s="1"/>
  <c r="C12" i="15" a="1"/>
  <c r="C12" i="15" s="1"/>
  <c r="AT21" i="14"/>
  <c r="BH20" i="14"/>
  <c r="BH21" i="14" s="1"/>
  <c r="BF21" i="14"/>
  <c r="BB21" i="14"/>
  <c r="AV18" i="14"/>
  <c r="AS25" i="14"/>
  <c r="AS21" i="14"/>
  <c r="AV20" i="14"/>
  <c r="AS27" i="14"/>
  <c r="AS26" i="14"/>
  <c r="X12" i="13"/>
  <c r="Z5" i="13"/>
  <c r="Z6" i="13"/>
  <c r="Z7" i="13"/>
  <c r="Z8" i="13"/>
  <c r="Z9" i="13"/>
  <c r="Z11" i="13"/>
  <c r="X7" i="13"/>
  <c r="X8" i="13"/>
  <c r="X9" i="13"/>
  <c r="X6" i="13"/>
  <c r="X5" i="13"/>
  <c r="Z10" i="13"/>
  <c r="X4" i="13"/>
  <c r="X3" i="13"/>
  <c r="X11" i="13"/>
  <c r="J13" i="13"/>
  <c r="Z3" i="13"/>
  <c r="Z12" i="13"/>
  <c r="F28" i="8"/>
  <c r="E28" i="8"/>
  <c r="C4" i="17"/>
  <c r="M16" i="17"/>
  <c r="L16" i="17"/>
  <c r="K16" i="17"/>
  <c r="I16" i="17"/>
  <c r="G16" i="17"/>
  <c r="H16" i="17"/>
  <c r="F16" i="17"/>
  <c r="E16" i="17"/>
  <c r="D15" i="17"/>
  <c r="E15" i="17"/>
  <c r="F15" i="17"/>
  <c r="G15" i="17"/>
  <c r="H15" i="17"/>
  <c r="I15" i="17"/>
  <c r="J15" i="17"/>
  <c r="K15" i="17"/>
  <c r="L15" i="17"/>
  <c r="M15" i="17"/>
  <c r="N15" i="17"/>
  <c r="C15" i="17"/>
  <c r="C16" i="17" s="1"/>
  <c r="M14" i="17"/>
  <c r="L14" i="17"/>
  <c r="K14" i="17"/>
  <c r="J14" i="17"/>
  <c r="I14" i="17"/>
  <c r="G28" i="8"/>
  <c r="G14" i="17"/>
  <c r="F14" i="17"/>
  <c r="E14" i="17"/>
  <c r="H28" i="8"/>
  <c r="D14" i="17"/>
  <c r="I28" i="8"/>
  <c r="P28" i="8" s="1"/>
  <c r="C14" i="17"/>
  <c r="J28" i="8"/>
  <c r="K28" i="8"/>
  <c r="L28" i="8"/>
  <c r="M28" i="8"/>
  <c r="N28" i="8"/>
  <c r="L13" i="17"/>
  <c r="K13" i="17"/>
  <c r="J13" i="17"/>
  <c r="I13" i="17"/>
  <c r="E13" i="17"/>
  <c r="F13" i="17"/>
  <c r="G13" i="17"/>
  <c r="H13" i="17"/>
  <c r="D13" i="17"/>
  <c r="C13" i="17"/>
  <c r="O3" i="17"/>
  <c r="H14" i="17"/>
  <c r="K12" i="17"/>
  <c r="J12" i="17"/>
  <c r="J11" i="17"/>
  <c r="I11" i="17"/>
  <c r="I12" i="17"/>
  <c r="I10" i="17"/>
  <c r="H10" i="17"/>
  <c r="H12" i="17"/>
  <c r="H11" i="17"/>
  <c r="H9" i="17"/>
  <c r="G9" i="17"/>
  <c r="G12" i="17"/>
  <c r="G11" i="17"/>
  <c r="G10" i="17"/>
  <c r="G8" i="17"/>
  <c r="F8" i="17"/>
  <c r="F12" i="17"/>
  <c r="F11" i="17"/>
  <c r="F10" i="17"/>
  <c r="F9" i="17"/>
  <c r="F7" i="17"/>
  <c r="E7" i="17"/>
  <c r="E12" i="17"/>
  <c r="E11" i="17"/>
  <c r="E10" i="17"/>
  <c r="E9" i="17"/>
  <c r="E8" i="17"/>
  <c r="E6" i="17"/>
  <c r="D6" i="17"/>
  <c r="D12" i="17"/>
  <c r="D11" i="17"/>
  <c r="D10" i="17"/>
  <c r="D9" i="17"/>
  <c r="D8" i="17"/>
  <c r="D7" i="17"/>
  <c r="D5" i="17"/>
  <c r="C6" i="17"/>
  <c r="C5" i="17"/>
  <c r="C7" i="17"/>
  <c r="C8" i="17"/>
  <c r="C9" i="17"/>
  <c r="C10" i="17"/>
  <c r="C11" i="17"/>
  <c r="C12" i="17"/>
  <c r="BD25" i="14" l="1" a="1"/>
  <c r="BD25" i="14" s="1"/>
  <c r="BF25" i="14" s="1"/>
  <c r="C13" i="15" a="1"/>
  <c r="C13" i="15" s="1"/>
  <c r="AZ27" i="14"/>
  <c r="AZ26" i="14"/>
  <c r="AR25" i="14" a="1"/>
  <c r="AR25" i="14" s="1"/>
  <c r="AT25" i="14" s="1"/>
  <c r="C11" i="15" a="1"/>
  <c r="C11" i="15" s="1"/>
  <c r="AV21" i="14"/>
  <c r="Y10" i="13"/>
  <c r="Y9" i="13"/>
  <c r="Y5" i="13"/>
  <c r="Y6" i="13"/>
  <c r="Y7" i="13"/>
  <c r="Y8" i="13"/>
  <c r="Y4" i="13"/>
  <c r="Y3" i="13"/>
  <c r="Y12" i="13"/>
  <c r="Y11" i="13"/>
  <c r="Z13" i="13"/>
  <c r="N29" i="8"/>
  <c r="H29" i="8"/>
  <c r="I29" i="8"/>
  <c r="K29" i="8"/>
  <c r="L29" i="8"/>
  <c r="E29" i="8"/>
  <c r="F29" i="8"/>
  <c r="J29" i="8"/>
  <c r="M29" i="8"/>
  <c r="G29" i="8"/>
  <c r="O14" i="17"/>
  <c r="N16" i="17" s="1"/>
  <c r="D6" i="13"/>
  <c r="C5" i="13"/>
  <c r="D5" i="13"/>
  <c r="E6" i="13"/>
  <c r="C6" i="13"/>
  <c r="C7" i="13"/>
  <c r="D7" i="13"/>
  <c r="E7" i="13"/>
  <c r="F7" i="13"/>
  <c r="C12" i="13"/>
  <c r="D12" i="13"/>
  <c r="E12" i="13"/>
  <c r="F12" i="13"/>
  <c r="C10" i="15" a="1"/>
  <c r="C10" i="15" s="1"/>
  <c r="C8" i="15" a="1"/>
  <c r="C8" i="15"/>
  <c r="AN12" i="14"/>
  <c r="AN13" i="14" s="1"/>
  <c r="AM12" i="14"/>
  <c r="AM11" i="14"/>
  <c r="AM13" i="14" s="1"/>
  <c r="AM18" i="14" s="1"/>
  <c r="AG12" i="14"/>
  <c r="AG11" i="14"/>
  <c r="AH12" i="14"/>
  <c r="AH13" i="14" s="1"/>
  <c r="AC13" i="14"/>
  <c r="AB12" i="14"/>
  <c r="AB13" i="14" s="1"/>
  <c r="AA12" i="14"/>
  <c r="AA11" i="14"/>
  <c r="AA19" i="14" s="1"/>
  <c r="V12" i="14"/>
  <c r="V13" i="14" s="1"/>
  <c r="U12" i="14"/>
  <c r="P12" i="14"/>
  <c r="P13" i="14" s="1"/>
  <c r="O11" i="14"/>
  <c r="Q13" i="14"/>
  <c r="AO13" i="14"/>
  <c r="AG13" i="14"/>
  <c r="AG18" i="14" s="1"/>
  <c r="AA13" i="14"/>
  <c r="W13" i="14"/>
  <c r="W20" i="14" s="1"/>
  <c r="K13" i="14"/>
  <c r="K18" i="14" s="1"/>
  <c r="J12" i="14"/>
  <c r="I12" i="14"/>
  <c r="I11" i="14"/>
  <c r="C12" i="14"/>
  <c r="K19" i="14" l="1"/>
  <c r="K20" i="14"/>
  <c r="K21" i="14"/>
  <c r="BF27" i="14"/>
  <c r="BF28" i="14" s="1"/>
  <c r="BE31" i="14" s="1"/>
  <c r="BE33" i="14" s="1"/>
  <c r="BF26" i="14"/>
  <c r="AZ28" i="14"/>
  <c r="AY31" i="14" s="1"/>
  <c r="AY33" i="14" s="1"/>
  <c r="AT26" i="14"/>
  <c r="AT27" i="14"/>
  <c r="I19" i="14"/>
  <c r="AI13" i="14"/>
  <c r="AI19" i="14" s="1"/>
  <c r="I13" i="14"/>
  <c r="I18" i="14" s="1"/>
  <c r="O13" i="14"/>
  <c r="J13" i="14"/>
  <c r="J20" i="14" s="1"/>
  <c r="U11" i="14"/>
  <c r="U13" i="14" s="1"/>
  <c r="U18" i="14" s="1"/>
  <c r="X18" i="14" s="1"/>
  <c r="Y13" i="13"/>
  <c r="C13" i="13"/>
  <c r="E13" i="13"/>
  <c r="D13" i="13"/>
  <c r="G13" i="13"/>
  <c r="F13" i="13"/>
  <c r="L13" i="13"/>
  <c r="H12" i="13"/>
  <c r="H13" i="13" s="1"/>
  <c r="W3" i="13" s="1"/>
  <c r="Q29" i="8"/>
  <c r="AM20" i="14"/>
  <c r="AP20" i="14" s="1"/>
  <c r="AM19" i="14"/>
  <c r="AM21" i="14" s="1"/>
  <c r="AO20" i="14"/>
  <c r="AO19" i="14"/>
  <c r="AO18" i="14"/>
  <c r="AN20" i="14"/>
  <c r="AN19" i="14"/>
  <c r="AN18" i="14"/>
  <c r="AG20" i="14"/>
  <c r="AJ20" i="14" s="1"/>
  <c r="AG19" i="14"/>
  <c r="AI20" i="14"/>
  <c r="AH20" i="14"/>
  <c r="AH19" i="14"/>
  <c r="AH18" i="14"/>
  <c r="AA20" i="14"/>
  <c r="AD20" i="14" s="1"/>
  <c r="AA18" i="14"/>
  <c r="AA25" i="14" s="1"/>
  <c r="AC20" i="14"/>
  <c r="AC19" i="14"/>
  <c r="AC18" i="14"/>
  <c r="AB20" i="14"/>
  <c r="AB19" i="14"/>
  <c r="AB18" i="14"/>
  <c r="W19" i="14"/>
  <c r="W18" i="14"/>
  <c r="V20" i="14"/>
  <c r="V19" i="14"/>
  <c r="V18" i="14"/>
  <c r="Q20" i="14"/>
  <c r="Q19" i="14"/>
  <c r="Q18" i="14"/>
  <c r="P20" i="14"/>
  <c r="P19" i="14"/>
  <c r="P18" i="14"/>
  <c r="AP19" i="14"/>
  <c r="AM27" i="14"/>
  <c r="AG27" i="14"/>
  <c r="AA26" i="14"/>
  <c r="AD19" i="14"/>
  <c r="AA27" i="14"/>
  <c r="C11" i="14"/>
  <c r="E13" i="14"/>
  <c r="E19" i="14" s="1"/>
  <c r="D12" i="14"/>
  <c r="D13" i="14" s="1"/>
  <c r="I20" i="14" l="1"/>
  <c r="I21" i="14" s="1"/>
  <c r="AT28" i="14"/>
  <c r="AS31" i="14" s="1"/>
  <c r="AS33" i="14" s="1"/>
  <c r="AG26" i="14"/>
  <c r="AG21" i="14"/>
  <c r="V21" i="14"/>
  <c r="U25" i="14"/>
  <c r="U20" i="14"/>
  <c r="U19" i="14"/>
  <c r="O18" i="14"/>
  <c r="O19" i="14"/>
  <c r="O26" i="14" s="1"/>
  <c r="O20" i="14"/>
  <c r="R20" i="14" s="1"/>
  <c r="P21" i="14"/>
  <c r="O27" i="14"/>
  <c r="R19" i="14"/>
  <c r="U26" i="14"/>
  <c r="X19" i="14"/>
  <c r="AM26" i="14"/>
  <c r="U21" i="14"/>
  <c r="AD18" i="14"/>
  <c r="AB21" i="14"/>
  <c r="AH21" i="14"/>
  <c r="AN21" i="14"/>
  <c r="I27" i="14"/>
  <c r="AA21" i="14"/>
  <c r="O25" i="14"/>
  <c r="J18" i="14"/>
  <c r="J19" i="14"/>
  <c r="I26" i="14" s="1"/>
  <c r="R18" i="14"/>
  <c r="AC21" i="14"/>
  <c r="AI18" i="14"/>
  <c r="AO21" i="14"/>
  <c r="AP18" i="14"/>
  <c r="AJ19" i="14"/>
  <c r="O21" i="14"/>
  <c r="Q21" i="14"/>
  <c r="W21" i="14"/>
  <c r="I25" i="14"/>
  <c r="L18" i="14"/>
  <c r="AM25" i="14"/>
  <c r="R5" i="13"/>
  <c r="R3" i="13"/>
  <c r="AA6" i="13"/>
  <c r="AA7" i="13"/>
  <c r="AA8" i="13"/>
  <c r="AA9" i="13"/>
  <c r="AA5" i="13"/>
  <c r="AA11" i="13"/>
  <c r="AA4" i="13"/>
  <c r="AA12" i="13"/>
  <c r="AA3" i="13"/>
  <c r="AA10" i="13"/>
  <c r="S10" i="13"/>
  <c r="S8" i="13"/>
  <c r="S9" i="13"/>
  <c r="S11" i="13"/>
  <c r="W10" i="13"/>
  <c r="W11" i="13"/>
  <c r="W9" i="13"/>
  <c r="T8" i="13"/>
  <c r="T9" i="13"/>
  <c r="T11" i="13"/>
  <c r="T10" i="13"/>
  <c r="S12" i="13"/>
  <c r="U8" i="13"/>
  <c r="U9" i="13"/>
  <c r="U10" i="13"/>
  <c r="U11" i="13"/>
  <c r="V9" i="13"/>
  <c r="V10" i="13"/>
  <c r="V11" i="13"/>
  <c r="R10" i="13"/>
  <c r="R9" i="13"/>
  <c r="R4" i="13"/>
  <c r="R8" i="13"/>
  <c r="R11" i="13"/>
  <c r="U12" i="13"/>
  <c r="U5" i="13"/>
  <c r="U7" i="13"/>
  <c r="U4" i="13"/>
  <c r="R7" i="13"/>
  <c r="R6" i="13"/>
  <c r="R12" i="13"/>
  <c r="AP21" i="14"/>
  <c r="AD21" i="14"/>
  <c r="D20" i="14"/>
  <c r="E20" i="14"/>
  <c r="E18" i="14"/>
  <c r="E21" i="14" s="1"/>
  <c r="C13" i="14"/>
  <c r="W12" i="13"/>
  <c r="V12" i="13"/>
  <c r="S6" i="13"/>
  <c r="U3" i="13"/>
  <c r="U6" i="13"/>
  <c r="R21" i="14" l="1"/>
  <c r="L20" i="14"/>
  <c r="C5" i="15" a="1"/>
  <c r="C5" i="15" s="1"/>
  <c r="U27" i="14"/>
  <c r="X20" i="14"/>
  <c r="X21" i="14" s="1"/>
  <c r="C7" i="15" a="1"/>
  <c r="C7" i="15" s="1"/>
  <c r="N25" i="14" a="1"/>
  <c r="N25" i="14" s="1"/>
  <c r="P25" i="14" s="1"/>
  <c r="C6" i="15" a="1"/>
  <c r="C6" i="15" s="1"/>
  <c r="J21" i="14"/>
  <c r="AN25" i="14"/>
  <c r="AN27" i="14"/>
  <c r="AN26" i="14"/>
  <c r="AB25" i="14"/>
  <c r="AB27" i="14"/>
  <c r="AB26" i="14"/>
  <c r="AI21" i="14"/>
  <c r="AJ18" i="14"/>
  <c r="AG25" i="14"/>
  <c r="L19" i="14"/>
  <c r="L21" i="14" s="1"/>
  <c r="AA13" i="13"/>
  <c r="AB10" i="13"/>
  <c r="Q31" i="13" s="1"/>
  <c r="AB9" i="13"/>
  <c r="Q30" i="13" s="1"/>
  <c r="AB11" i="13"/>
  <c r="Q32" i="13" s="1"/>
  <c r="R13" i="13"/>
  <c r="C18" i="14"/>
  <c r="C20" i="14"/>
  <c r="C27" i="14" s="1"/>
  <c r="C19" i="14"/>
  <c r="D19" i="14"/>
  <c r="D18" i="14"/>
  <c r="T4" i="13"/>
  <c r="T5" i="13"/>
  <c r="T3" i="13"/>
  <c r="T7" i="13"/>
  <c r="T12" i="13"/>
  <c r="AB12" i="13" s="1"/>
  <c r="T6" i="13"/>
  <c r="U13" i="13"/>
  <c r="X13" i="13"/>
  <c r="S4" i="13"/>
  <c r="S3" i="13"/>
  <c r="S5" i="13"/>
  <c r="S7" i="13"/>
  <c r="V4" i="13"/>
  <c r="V3" i="13"/>
  <c r="V5" i="13"/>
  <c r="V6" i="13"/>
  <c r="V7" i="13"/>
  <c r="V8" i="13"/>
  <c r="W4" i="13"/>
  <c r="W5" i="13"/>
  <c r="W6" i="13"/>
  <c r="W7" i="13"/>
  <c r="W8" i="13"/>
  <c r="H25" i="14" l="1" a="1"/>
  <c r="H25" i="14" s="1"/>
  <c r="J25" i="14" s="1"/>
  <c r="AF25" i="14" a="1"/>
  <c r="AF25" i="14" s="1"/>
  <c r="C9" i="15" a="1"/>
  <c r="C9" i="15" s="1"/>
  <c r="T25" i="14" a="1"/>
  <c r="P26" i="14"/>
  <c r="P27" i="14"/>
  <c r="AB28" i="14"/>
  <c r="AA31" i="14" s="1"/>
  <c r="AA33" i="14" s="1"/>
  <c r="AJ21" i="14"/>
  <c r="AN28" i="14"/>
  <c r="AM31" i="14" s="1"/>
  <c r="AM33" i="14" s="1"/>
  <c r="AB4" i="13"/>
  <c r="AB8" i="13"/>
  <c r="AB6" i="13"/>
  <c r="AB7" i="13"/>
  <c r="AB3" i="13"/>
  <c r="C14" i="16" s="1" a="1"/>
  <c r="C14" i="16" s="1"/>
  <c r="Q33" i="13"/>
  <c r="AB5" i="13"/>
  <c r="C26" i="14"/>
  <c r="C25" i="14"/>
  <c r="F18" i="14"/>
  <c r="D21" i="14"/>
  <c r="F19" i="14"/>
  <c r="F20" i="14"/>
  <c r="C21" i="14"/>
  <c r="W13" i="13"/>
  <c r="V13" i="13"/>
  <c r="S13" i="13"/>
  <c r="T13" i="13"/>
  <c r="P28" i="14" l="1"/>
  <c r="O31" i="14"/>
  <c r="O33" i="14" s="1"/>
  <c r="J26" i="14"/>
  <c r="J28" i="14" s="1"/>
  <c r="I31" i="14" s="1"/>
  <c r="I33" i="14" s="1"/>
  <c r="J27" i="14"/>
  <c r="Q24" i="13"/>
  <c r="T25" i="14"/>
  <c r="V25" i="14" s="1"/>
  <c r="V26" i="14"/>
  <c r="V27" i="14"/>
  <c r="AH25" i="14"/>
  <c r="AH26" i="14"/>
  <c r="AH27" i="14"/>
  <c r="C5" i="16" a="1"/>
  <c r="C5" i="16" s="1"/>
  <c r="D25" i="14"/>
  <c r="F21" i="14"/>
  <c r="AB13" i="13"/>
  <c r="P24" i="13" a="1"/>
  <c r="P24" i="13" s="1"/>
  <c r="N3" i="16" a="1"/>
  <c r="N3" i="16" s="1"/>
  <c r="R24" i="13" l="1"/>
  <c r="V28" i="14"/>
  <c r="U31" i="14" s="1"/>
  <c r="U33" i="14" s="1"/>
  <c r="AH28" i="14"/>
  <c r="AG31" i="14" s="1"/>
  <c r="AG33" i="14" s="1"/>
  <c r="R30" i="13"/>
  <c r="R31" i="13"/>
  <c r="R33" i="13"/>
  <c r="R32" i="13"/>
  <c r="D26" i="14"/>
  <c r="D28" i="14" s="1"/>
  <c r="C31" i="14" s="1"/>
  <c r="D27" i="14"/>
  <c r="Q28" i="13"/>
  <c r="R28" i="13" s="1"/>
  <c r="Q29" i="13"/>
  <c r="R29" i="13" s="1"/>
  <c r="Q27" i="13"/>
  <c r="R27" i="13" s="1"/>
  <c r="Q26" i="13"/>
  <c r="R26" i="13" s="1"/>
  <c r="Q25" i="13"/>
  <c r="R25" i="13" s="1"/>
  <c r="R34" i="13" l="1"/>
  <c r="B24" i="13" s="1"/>
  <c r="B25" i="13" s="1"/>
  <c r="C33" i="14"/>
  <c r="O12" i="17" l="1"/>
  <c r="O8" i="17"/>
  <c r="O7" i="17"/>
  <c r="O10" i="17"/>
  <c r="J16" i="17" s="1"/>
  <c r="O6" i="17"/>
  <c r="O11" i="17"/>
  <c r="O4" i="17"/>
  <c r="D16" i="17" s="1"/>
  <c r="O9" i="17"/>
  <c r="O5" i="17"/>
  <c r="O13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<sst xmlns="http://schemas.openxmlformats.org/spreadsheetml/2006/main" count="676" uniqueCount="146">
  <si>
    <t> </t>
  </si>
  <si>
    <t>Engineering Characteristics</t>
  </si>
  <si>
    <t>Improvement
Direction</t>
  </si>
  <si>
    <t>↓</t>
  </si>
  <si>
    <t>↑</t>
  </si>
  <si>
    <t>Units</t>
  </si>
  <si>
    <t>Customer Requirements</t>
  </si>
  <si>
    <t>Importance Weight Factor</t>
  </si>
  <si>
    <t>Size</t>
  </si>
  <si>
    <t>Average:</t>
  </si>
  <si>
    <t>Rank Order</t>
  </si>
  <si>
    <t>Pugh Chart Iteration 1</t>
  </si>
  <si>
    <t>Concepts</t>
  </si>
  <si>
    <t>Selection Criteria</t>
  </si>
  <si>
    <t>#3</t>
  </si>
  <si>
    <t>Datum</t>
  </si>
  <si>
    <t>+</t>
  </si>
  <si>
    <t>S</t>
  </si>
  <si>
    <t>-</t>
  </si>
  <si>
    <t>Datum was picked because it is the most generic design.</t>
  </si>
  <si>
    <t>Number of Pluses</t>
  </si>
  <si>
    <t>Number of Minuses</t>
  </si>
  <si>
    <t>Pugh Chart Iteration 2</t>
  </si>
  <si>
    <t>Pugh Chart Iteration 3</t>
  </si>
  <si>
    <t>After the final iteration of the Pugh Chart,</t>
  </si>
  <si>
    <t>possible canidate. This narrows our options to</t>
  </si>
  <si>
    <t>Criteria Comparison Matrix[C]</t>
  </si>
  <si>
    <t>Normalized Criteria Comparison Matrix [NormC]</t>
  </si>
  <si>
    <t>Criteria
Weights
{W}</t>
  </si>
  <si>
    <t>Sum</t>
  </si>
  <si>
    <t>Is y axis better than x axis</t>
  </si>
  <si>
    <t>Vector Calculations</t>
  </si>
  <si>
    <t>Consistency Check</t>
  </si>
  <si>
    <t xml:space="preserve">n = </t>
  </si>
  <si>
    <t>{Ws}=[C]{W}</t>
  </si>
  <si>
    <t>{W}</t>
  </si>
  <si>
    <t>{Cons}={Ws}./{W}</t>
  </si>
  <si>
    <t xml:space="preserve">RI = </t>
  </si>
  <si>
    <t>Weighed Sum Vector</t>
  </si>
  <si>
    <t>Criteria Weights</t>
  </si>
  <si>
    <t>Consistency Vector</t>
  </si>
  <si>
    <t xml:space="preserve">CI = </t>
  </si>
  <si>
    <t xml:space="preserve">CR = </t>
  </si>
  <si>
    <t xml:space="preserve">Lambda = </t>
  </si>
  <si>
    <t>Comparison [C]</t>
  </si>
  <si>
    <t>Normalized Noise Level Comparison [NormC]</t>
  </si>
  <si>
    <t>Normalized Dispense Area Comparison [NormC]</t>
  </si>
  <si>
    <t>Normalized Material Rigidity Comparison [NormC]</t>
  </si>
  <si>
    <t>Normalized Object Detection Comparison [NormC]</t>
  </si>
  <si>
    <t>Normalized Size Comparison [NormC]</t>
  </si>
  <si>
    <t>Normalized Time to Install System Comparison [NormC]</t>
  </si>
  <si>
    <t>Normalized Accuracy of Material Dispensing Comparison [NormC]</t>
  </si>
  <si>
    <t>Design
Alternative
Priorities {Pi}</t>
  </si>
  <si>
    <t>{Ws} = [C]{Pi}
Weighted Sum
Vector</t>
  </si>
  <si>
    <t>{Pi}
Criteria
Weights</t>
  </si>
  <si>
    <t>Cons={Ws}./{Pi}
Consistency
Vector</t>
  </si>
  <si>
    <t>Lambda</t>
  </si>
  <si>
    <t>n</t>
  </si>
  <si>
    <t>CI</t>
  </si>
  <si>
    <t>RI</t>
  </si>
  <si>
    <t>CR</t>
  </si>
  <si>
    <t>Final Rating Matrix</t>
  </si>
  <si>
    <t>Criteria
Weights {W}</t>
  </si>
  <si>
    <t>Transpose of Final Rating Matrix</t>
  </si>
  <si>
    <t>Selection
Criteria</t>
  </si>
  <si>
    <t>X</t>
  </si>
  <si>
    <t>Concept</t>
  </si>
  <si>
    <t>Alternative Value</t>
  </si>
  <si>
    <t>Secures sample</t>
  </si>
  <si>
    <t>Speed</t>
  </si>
  <si>
    <t>Accuracy</t>
  </si>
  <si>
    <t>mm</t>
  </si>
  <si>
    <t>°</t>
  </si>
  <si>
    <t>Maintenance</t>
  </si>
  <si>
    <t xml:space="preserve">Repeatability </t>
  </si>
  <si>
    <t>Provide reliable measurment feedback</t>
  </si>
  <si>
    <t>Collects and stores sensor data</t>
  </si>
  <si>
    <t>Transfers sensor data</t>
  </si>
  <si>
    <t>Binary</t>
  </si>
  <si>
    <t>User Friendliness</t>
  </si>
  <si>
    <t>Lack of Magnetic Material</t>
  </si>
  <si>
    <t>Versatility</t>
  </si>
  <si>
    <t>Durability</t>
  </si>
  <si>
    <t>mm/s</t>
  </si>
  <si>
    <t>Power Efficiency</t>
  </si>
  <si>
    <t>Device moves at a controlled speed</t>
  </si>
  <si>
    <t>Relative Weight %</t>
  </si>
  <si>
    <t>3. Using a lathe center and rail movement to secure and move sample, this is like a mini lathe (vertical specimen).</t>
  </si>
  <si>
    <t>5. Robotic arm to move sensor with six degrees of freedom.</t>
  </si>
  <si>
    <t>12. Helical cage around the shaft that has the flux meter attached to it.</t>
  </si>
  <si>
    <t>13. The shaft sits horizontally on a conveyor belt of rollers that are turned using motors, the sensor is stationary, and the shaft moves rotationally and horizontally.</t>
  </si>
  <si>
    <t>29. Typewriter style rail system where many measurements are taken in axial direction before a rotation then many more axial measurements are taken, and pop lock system used to keep consistent spacing.</t>
  </si>
  <si>
    <t>2. Using a lathe center and rail movement to secure and move sample, this is like a mini lathe (horizontal specimen).</t>
  </si>
  <si>
    <t>33. A device that holds the shaft horizontally and spins it via a motor. The shaft will sit on roller bearings attached onto the device near the contact points of the shaft to enable easier spinning of the shaft and to reduce friction.</t>
  </si>
  <si>
    <t>59. Lean and peck style probe arm that reaches down and presses sensor to shaft that rotates.</t>
  </si>
  <si>
    <t>#2</t>
  </si>
  <si>
    <t>#5</t>
  </si>
  <si>
    <t>#12</t>
  </si>
  <si>
    <t>#13</t>
  </si>
  <si>
    <t>#29</t>
  </si>
  <si>
    <t>#33</t>
  </si>
  <si>
    <t>#59</t>
  </si>
  <si>
    <t>Customer Needs</t>
  </si>
  <si>
    <t>Weight</t>
  </si>
  <si>
    <t>Automation</t>
  </si>
  <si>
    <t>Levels sample</t>
  </si>
  <si>
    <t>Loading and unloading the shaft</t>
  </si>
  <si>
    <t>Setting initial conditions</t>
  </si>
  <si>
    <t xml:space="preserve">1. Repeatability </t>
  </si>
  <si>
    <t>2. Speed</t>
  </si>
  <si>
    <t>3. Accuracy</t>
  </si>
  <si>
    <t>4. Maintenance</t>
  </si>
  <si>
    <t>5. Lack of Magnetic Material</t>
  </si>
  <si>
    <t>6. Versatility</t>
  </si>
  <si>
    <t>7. Size</t>
  </si>
  <si>
    <t>8. User Friendliness</t>
  </si>
  <si>
    <t>9. Automation</t>
  </si>
  <si>
    <t>10. Durability</t>
  </si>
  <si>
    <t>Total</t>
  </si>
  <si>
    <t>Raw Score (2213)</t>
  </si>
  <si>
    <t>Provide reliable measurement feedback</t>
  </si>
  <si>
    <t>11. Weight</t>
  </si>
  <si>
    <t>12. Power Efficiency</t>
  </si>
  <si>
    <t>Check (12-1)</t>
  </si>
  <si>
    <t>ideas #3, #2, and #29.</t>
  </si>
  <si>
    <t>we have decided to remove idea #33 as a</t>
  </si>
  <si>
    <t>Provides reliable measurement feedback</t>
  </si>
  <si>
    <t>Device moves at controlled</t>
  </si>
  <si>
    <t>Idea #2</t>
  </si>
  <si>
    <t>Idea #3</t>
  </si>
  <si>
    <t>Idea #29</t>
  </si>
  <si>
    <t>Consistent measurements</t>
  </si>
  <si>
    <t>Consistant measurements</t>
  </si>
  <si>
    <t>Measures entire magnetic region</t>
  </si>
  <si>
    <t>Povides reliable measurement feedback</t>
  </si>
  <si>
    <t>Loading and unloading
the shaft</t>
  </si>
  <si>
    <t>Setting initial
conditions</t>
  </si>
  <si>
    <t>Secures
sample</t>
  </si>
  <si>
    <t>Consistent
measurements</t>
  </si>
  <si>
    <t>Measures entire
magnetic region</t>
  </si>
  <si>
    <t>Provide reliable
measurement feedback</t>
  </si>
  <si>
    <t>Collects and stores
sensor data</t>
  </si>
  <si>
    <t>Transfers sensor
data</t>
  </si>
  <si>
    <t>Device moves at
a constant speed</t>
  </si>
  <si>
    <t>Minutes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</si>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</sst>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charset val="1"/>
    </font>
    <font>
      <b/>
      <sz val="16"/>
      <color rgb="FF000000"/>
      <name val="Calibri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D660C"/>
        <bgColor indexed="64"/>
      </patternFill>
    </fill>
    <fill>
      <patternFill patternType="solid">
        <fgColor rgb="FFF0A16C"/>
        <bgColor indexed="64"/>
      </patternFill>
    </fill>
    <fill>
      <patternFill patternType="solid">
        <fgColor rgb="FFC44D69"/>
        <bgColor indexed="64"/>
      </patternFill>
    </fill>
    <fill>
      <patternFill patternType="solid">
        <fgColor rgb="FF43A2C4"/>
        <bgColor indexed="64"/>
      </patternFill>
    </fill>
    <fill>
      <patternFill patternType="solid">
        <fgColor rgb="FF0CE1ED"/>
        <bgColor indexed="64"/>
      </patternFill>
    </fill>
    <fill>
      <patternFill patternType="solid">
        <fgColor rgb="FFDBD7D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A8E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8" fillId="0" borderId="0" xfId="0" applyFont="1"/>
    <xf numFmtId="0" fontId="0" fillId="0" borderId="1" xfId="0" applyBorder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4" borderId="1" xfId="0" applyNumberFormat="1" applyFill="1" applyBorder="1"/>
    <xf numFmtId="16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textRotation="90" wrapText="1"/>
    </xf>
    <xf numFmtId="0" fontId="5" fillId="0" borderId="0" xfId="0" quotePrefix="1" applyFont="1"/>
    <xf numFmtId="0" fontId="3" fillId="0" borderId="0" xfId="0" quotePrefix="1" applyFont="1"/>
    <xf numFmtId="0" fontId="2" fillId="0" borderId="0" xfId="0" applyFont="1" applyAlignment="1">
      <alignment horizontal="right"/>
    </xf>
    <xf numFmtId="2" fontId="0" fillId="5" borderId="1" xfId="0" applyNumberFormat="1" applyFill="1" applyBorder="1"/>
    <xf numFmtId="2" fontId="0" fillId="0" borderId="5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5" xfId="0" applyNumberFormat="1" applyBorder="1"/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 applyBorder="1" applyAlignment="1">
      <alignment wrapText="1"/>
    </xf>
    <xf numFmtId="2" fontId="2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indent="2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7" borderId="0" xfId="0" applyFont="1" applyFill="1"/>
    <xf numFmtId="0" fontId="4" fillId="7" borderId="0" xfId="0" applyFont="1" applyFill="1"/>
    <xf numFmtId="0" fontId="3" fillId="6" borderId="6" xfId="0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9" fillId="0" borderId="6" xfId="0" quotePrefix="1" applyNumberFormat="1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164" fontId="0" fillId="5" borderId="6" xfId="0" applyNumberFormat="1" applyFill="1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8" borderId="6" xfId="0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0" fillId="10" borderId="6" xfId="1" applyFont="1" applyFill="1" applyBorder="1" applyAlignment="1">
      <alignment horizontal="left" wrapText="1"/>
    </xf>
    <xf numFmtId="0" fontId="0" fillId="10" borderId="6" xfId="2" applyFont="1" applyFill="1" applyBorder="1" applyAlignment="1">
      <alignment horizontal="left" wrapText="1"/>
    </xf>
    <xf numFmtId="0" fontId="0" fillId="10" borderId="6" xfId="1" applyFont="1" applyFill="1" applyBorder="1" applyAlignment="1">
      <alignment horizontal="left"/>
    </xf>
    <xf numFmtId="0" fontId="0" fillId="11" borderId="6" xfId="0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6" xfId="2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/>
    </xf>
    <xf numFmtId="0" fontId="1" fillId="10" borderId="6" xfId="1" applyFill="1" applyBorder="1" applyAlignment="1">
      <alignment wrapText="1"/>
    </xf>
    <xf numFmtId="0" fontId="0" fillId="10" borderId="6" xfId="2" applyFont="1" applyFill="1" applyBorder="1" applyAlignment="1">
      <alignment wrapText="1"/>
    </xf>
    <xf numFmtId="0" fontId="1" fillId="10" borderId="6" xfId="2" applyFill="1" applyBorder="1" applyAlignment="1">
      <alignment wrapText="1"/>
    </xf>
    <xf numFmtId="0" fontId="1" fillId="13" borderId="6" xfId="2" applyFill="1" applyBorder="1" applyAlignment="1">
      <alignment horizontal="center" vertical="center"/>
    </xf>
    <xf numFmtId="0" fontId="0" fillId="13" borderId="6" xfId="2" applyFont="1" applyFill="1" applyBorder="1" applyAlignment="1">
      <alignment horizontal="center" vertical="center" wrapText="1"/>
    </xf>
    <xf numFmtId="0" fontId="1" fillId="13" borderId="6" xfId="2" applyFill="1" applyBorder="1" applyAlignment="1">
      <alignment horizontal="center" vertical="center" wrapText="1"/>
    </xf>
    <xf numFmtId="2" fontId="10" fillId="13" borderId="6" xfId="1" applyNumberFormat="1" applyFont="1" applyFill="1" applyBorder="1" applyAlignment="1">
      <alignment horizontal="center" vertical="center" wrapText="1"/>
    </xf>
    <xf numFmtId="0" fontId="2" fillId="13" borderId="6" xfId="2" applyFont="1" applyFill="1" applyBorder="1" applyAlignment="1">
      <alignment horizontal="center" vertical="center"/>
    </xf>
    <xf numFmtId="0" fontId="2" fillId="13" borderId="6" xfId="2" applyFont="1" applyFill="1" applyBorder="1" applyAlignment="1">
      <alignment horizontal="center" vertical="center" wrapText="1"/>
    </xf>
    <xf numFmtId="0" fontId="1" fillId="13" borderId="6" xfId="1" applyFill="1" applyBorder="1" applyAlignment="1">
      <alignment horizontal="center" wrapText="1"/>
    </xf>
    <xf numFmtId="0" fontId="0" fillId="13" borderId="6" xfId="0" applyFill="1" applyBorder="1" applyAlignment="1">
      <alignment horizontal="center"/>
    </xf>
    <xf numFmtId="0" fontId="1" fillId="8" borderId="6" xfId="1" applyFill="1" applyBorder="1" applyAlignment="1">
      <alignment horizontal="center" vertical="center" wrapText="1"/>
    </xf>
    <xf numFmtId="0" fontId="1" fillId="16" borderId="6" xfId="2" applyFill="1" applyBorder="1" applyAlignment="1">
      <alignment horizontal="center" vertical="center" wrapText="1"/>
    </xf>
    <xf numFmtId="0" fontId="1" fillId="16" borderId="6" xfId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1" fillId="8" borderId="6" xfId="2" applyFill="1" applyBorder="1" applyAlignment="1">
      <alignment horizontal="center" vertical="center" wrapText="1"/>
    </xf>
    <xf numFmtId="0" fontId="0" fillId="8" borderId="6" xfId="1" applyFont="1" applyFill="1" applyBorder="1" applyAlignment="1">
      <alignment horizontal="center" vertical="center" wrapText="1"/>
    </xf>
    <xf numFmtId="0" fontId="4" fillId="9" borderId="6" xfId="0" applyFont="1" applyFill="1" applyBorder="1"/>
    <xf numFmtId="0" fontId="5" fillId="10" borderId="6" xfId="0" applyFont="1" applyFill="1" applyBorder="1"/>
    <xf numFmtId="0" fontId="3" fillId="15" borderId="6" xfId="0" applyFont="1" applyFill="1" applyBorder="1" applyAlignment="1">
      <alignment horizontal="center" vertical="center"/>
    </xf>
    <xf numFmtId="0" fontId="3" fillId="15" borderId="6" xfId="0" quotePrefix="1" applyFont="1" applyFill="1" applyBorder="1" applyAlignment="1">
      <alignment horizontal="center" vertical="center"/>
    </xf>
    <xf numFmtId="0" fontId="5" fillId="15" borderId="6" xfId="0" quotePrefix="1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6" fillId="9" borderId="6" xfId="0" applyFont="1" applyFill="1" applyBorder="1"/>
    <xf numFmtId="0" fontId="4" fillId="13" borderId="6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5" fillId="14" borderId="6" xfId="0" quotePrefix="1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164" fontId="2" fillId="13" borderId="6" xfId="0" applyNumberFormat="1" applyFont="1" applyFill="1" applyBorder="1" applyAlignment="1">
      <alignment horizontal="center" vertical="center"/>
    </xf>
    <xf numFmtId="164" fontId="0" fillId="14" borderId="6" xfId="0" applyNumberFormat="1" applyFill="1" applyBorder="1" applyAlignment="1">
      <alignment horizontal="center" vertical="center"/>
    </xf>
    <xf numFmtId="164" fontId="0" fillId="19" borderId="6" xfId="0" applyNumberFormat="1" applyFill="1" applyBorder="1" applyAlignment="1">
      <alignment horizontal="center" vertical="center"/>
    </xf>
    <xf numFmtId="2" fontId="0" fillId="14" borderId="1" xfId="0" applyNumberFormat="1" applyFill="1" applyBorder="1"/>
    <xf numFmtId="2" fontId="0" fillId="14" borderId="5" xfId="0" applyNumberFormat="1" applyFill="1" applyBorder="1"/>
    <xf numFmtId="0" fontId="2" fillId="7" borderId="7" xfId="0" applyFont="1" applyFill="1" applyBorder="1"/>
    <xf numFmtId="164" fontId="2" fillId="7" borderId="7" xfId="0" applyNumberFormat="1" applyFont="1" applyFill="1" applyBorder="1"/>
    <xf numFmtId="0" fontId="1" fillId="12" borderId="6" xfId="2" applyFill="1" applyBorder="1" applyAlignment="1">
      <alignment horizontal="center" vertical="center" wrapText="1"/>
    </xf>
    <xf numFmtId="0" fontId="1" fillId="13" borderId="6" xfId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12" borderId="6" xfId="2" applyFill="1" applyBorder="1" applyAlignment="1">
      <alignment wrapText="1"/>
    </xf>
    <xf numFmtId="0" fontId="1" fillId="13" borderId="6" xfId="1" applyFill="1" applyBorder="1" applyAlignment="1">
      <alignment wrapText="1"/>
    </xf>
    <xf numFmtId="0" fontId="0" fillId="9" borderId="6" xfId="2" applyFont="1" applyFill="1" applyBorder="1" applyAlignment="1">
      <alignment wrapText="1"/>
    </xf>
    <xf numFmtId="0" fontId="1" fillId="11" borderId="6" xfId="2" applyFill="1" applyBorder="1" applyAlignment="1">
      <alignment horizontal="center" vertical="center" textRotation="90" wrapText="1"/>
    </xf>
    <xf numFmtId="0" fontId="0" fillId="17" borderId="6" xfId="2" applyFont="1" applyFill="1" applyBorder="1" applyAlignment="1">
      <alignment horizontal="center" vertical="center" textRotation="90"/>
    </xf>
    <xf numFmtId="0" fontId="0" fillId="17" borderId="6" xfId="2" applyFont="1" applyFill="1" applyBorder="1" applyAlignment="1">
      <alignment horizontal="center" vertical="center" textRotation="90" wrapText="1"/>
    </xf>
    <xf numFmtId="0" fontId="0" fillId="17" borderId="6" xfId="0" applyFill="1" applyBorder="1" applyAlignment="1">
      <alignment horizontal="center" vertical="center" textRotation="90" wrapText="1"/>
    </xf>
    <xf numFmtId="0" fontId="1" fillId="12" borderId="6" xfId="2" applyFill="1" applyBorder="1" applyAlignment="1">
      <alignment horizontal="left"/>
    </xf>
    <xf numFmtId="0" fontId="0" fillId="12" borderId="6" xfId="2" applyFont="1" applyFill="1" applyBorder="1" applyAlignment="1">
      <alignment horizontal="left"/>
    </xf>
    <xf numFmtId="0" fontId="2" fillId="12" borderId="6" xfId="2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5" fillId="18" borderId="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20% - Accent1" xfId="1" builtinId="30"/>
    <cellStyle name="60% - Accent1" xfId="2" builtinId="32"/>
    <cellStyle name="Normal" xfId="0" builtinId="0"/>
  </cellStyles>
  <dxfs count="0"/>
  <tableStyles count="0" defaultTableStyle="TableStyleMedium2" defaultPivotStyle="PivotStyleLight16"/>
  <colors>
    <mruColors>
      <color rgb="FFDBD7D2"/>
      <color rgb="FFDCDCDC"/>
      <color rgb="FF2F6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FEC6-6FFB-4DD8-BA9A-31188EC161BE}">
  <dimension ref="B2:O16"/>
  <sheetViews>
    <sheetView zoomScaleNormal="100" workbookViewId="0">
      <selection activeCell="R10" sqref="R10"/>
    </sheetView>
  </sheetViews>
  <sheetFormatPr defaultRowHeight="14.4" x14ac:dyDescent="0.3"/>
  <cols>
    <col min="2" max="2" width="24.5546875" bestFit="1" customWidth="1"/>
    <col min="3" max="14" width="4" customWidth="1"/>
    <col min="15" max="15" width="5.88671875" customWidth="1"/>
  </cols>
  <sheetData>
    <row r="2" spans="2:15" x14ac:dyDescent="0.3">
      <c r="B2" s="61" t="s">
        <v>102</v>
      </c>
      <c r="C2" s="65">
        <v>1</v>
      </c>
      <c r="D2" s="65">
        <v>2</v>
      </c>
      <c r="E2" s="65">
        <v>3</v>
      </c>
      <c r="F2" s="65">
        <v>4</v>
      </c>
      <c r="G2" s="65">
        <v>5</v>
      </c>
      <c r="H2" s="65">
        <v>6</v>
      </c>
      <c r="I2" s="65">
        <v>7</v>
      </c>
      <c r="J2" s="65">
        <v>8</v>
      </c>
      <c r="K2" s="65">
        <v>9</v>
      </c>
      <c r="L2" s="65">
        <v>10</v>
      </c>
      <c r="M2" s="65">
        <v>11</v>
      </c>
      <c r="N2" s="65">
        <v>12</v>
      </c>
      <c r="O2" s="66" t="s">
        <v>118</v>
      </c>
    </row>
    <row r="3" spans="2:15" ht="16.95" customHeight="1" x14ac:dyDescent="0.3">
      <c r="B3" s="62" t="s">
        <v>108</v>
      </c>
      <c r="C3" s="60" t="s">
        <v>18</v>
      </c>
      <c r="D3" s="30">
        <v>1</v>
      </c>
      <c r="E3" s="30">
        <v>0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0</v>
      </c>
      <c r="L3" s="30">
        <v>1</v>
      </c>
      <c r="M3" s="30">
        <v>1</v>
      </c>
      <c r="N3" s="30">
        <v>1</v>
      </c>
      <c r="O3" s="68">
        <f t="shared" ref="O3:O14" si="0">SUM(C3:N3)</f>
        <v>9</v>
      </c>
    </row>
    <row r="4" spans="2:15" ht="16.95" customHeight="1" x14ac:dyDescent="0.3">
      <c r="B4" s="63" t="s">
        <v>109</v>
      </c>
      <c r="C4" s="30">
        <f>IF(D3=1,0,1)</f>
        <v>0</v>
      </c>
      <c r="D4" s="60" t="s">
        <v>18</v>
      </c>
      <c r="E4" s="30">
        <v>0</v>
      </c>
      <c r="F4" s="30">
        <v>0</v>
      </c>
      <c r="G4" s="30">
        <v>0</v>
      </c>
      <c r="H4" s="30">
        <v>0</v>
      </c>
      <c r="I4" s="30">
        <v>1</v>
      </c>
      <c r="J4" s="30">
        <v>0</v>
      </c>
      <c r="K4" s="30">
        <v>0</v>
      </c>
      <c r="L4" s="30">
        <v>0</v>
      </c>
      <c r="M4" s="30">
        <v>0</v>
      </c>
      <c r="N4" s="30">
        <v>1</v>
      </c>
      <c r="O4" s="68">
        <f t="shared" si="0"/>
        <v>2</v>
      </c>
    </row>
    <row r="5" spans="2:15" ht="16.95" customHeight="1" x14ac:dyDescent="0.3">
      <c r="B5" s="62" t="s">
        <v>110</v>
      </c>
      <c r="C5" s="30">
        <f>IF(E3=1,0,1)</f>
        <v>1</v>
      </c>
      <c r="D5" s="30">
        <f>IF(E4=1,0,1)</f>
        <v>1</v>
      </c>
      <c r="E5" s="60" t="s">
        <v>18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0">
        <v>1</v>
      </c>
      <c r="O5" s="68">
        <f t="shared" si="0"/>
        <v>11</v>
      </c>
    </row>
    <row r="6" spans="2:15" ht="16.95" customHeight="1" x14ac:dyDescent="0.3">
      <c r="B6" s="63" t="s">
        <v>111</v>
      </c>
      <c r="C6" s="30">
        <f>IF(F3=1,0,1)</f>
        <v>0</v>
      </c>
      <c r="D6" s="30">
        <f>IF(F4=1,0,1)</f>
        <v>1</v>
      </c>
      <c r="E6" s="30">
        <f>IF(F5=1,0,1)</f>
        <v>0</v>
      </c>
      <c r="F6" s="60" t="s">
        <v>18</v>
      </c>
      <c r="G6" s="30">
        <v>0</v>
      </c>
      <c r="H6" s="30">
        <v>1</v>
      </c>
      <c r="I6" s="30">
        <v>1</v>
      </c>
      <c r="J6" s="30">
        <v>0</v>
      </c>
      <c r="K6" s="30">
        <v>0</v>
      </c>
      <c r="L6" s="30">
        <v>0</v>
      </c>
      <c r="M6" s="30">
        <v>0</v>
      </c>
      <c r="N6" s="30">
        <v>1</v>
      </c>
      <c r="O6" s="68">
        <f t="shared" si="0"/>
        <v>4</v>
      </c>
    </row>
    <row r="7" spans="2:15" ht="16.95" customHeight="1" x14ac:dyDescent="0.3">
      <c r="B7" s="64" t="s">
        <v>112</v>
      </c>
      <c r="C7" s="30">
        <f>IF(G3=1,0,1)</f>
        <v>0</v>
      </c>
      <c r="D7" s="30">
        <f>IF(G4=1,0,1)</f>
        <v>1</v>
      </c>
      <c r="E7" s="30">
        <f>IF(G5=1,0,1)</f>
        <v>0</v>
      </c>
      <c r="F7" s="30">
        <f>IF(G6=1,0,1)</f>
        <v>1</v>
      </c>
      <c r="G7" s="60" t="s">
        <v>18</v>
      </c>
      <c r="H7" s="30">
        <v>1</v>
      </c>
      <c r="I7" s="30">
        <v>1</v>
      </c>
      <c r="J7" s="30">
        <v>1</v>
      </c>
      <c r="K7" s="30">
        <v>0</v>
      </c>
      <c r="L7" s="30">
        <v>0</v>
      </c>
      <c r="M7" s="30">
        <v>0</v>
      </c>
      <c r="N7" s="30">
        <v>1</v>
      </c>
      <c r="O7" s="68">
        <f t="shared" si="0"/>
        <v>6</v>
      </c>
    </row>
    <row r="8" spans="2:15" ht="16.95" customHeight="1" x14ac:dyDescent="0.3">
      <c r="B8" s="63" t="s">
        <v>113</v>
      </c>
      <c r="C8" s="30">
        <f>IF(H3=1,0,1)</f>
        <v>0</v>
      </c>
      <c r="D8" s="30">
        <f>IF(H4=1,0,1)</f>
        <v>1</v>
      </c>
      <c r="E8" s="30">
        <f>IF(H5=1,0,1)</f>
        <v>0</v>
      </c>
      <c r="F8" s="30">
        <f>IF(H6=1,0,1)</f>
        <v>0</v>
      </c>
      <c r="G8" s="30">
        <f>IF(H7=1,0,1)</f>
        <v>0</v>
      </c>
      <c r="H8" s="60" t="s">
        <v>18</v>
      </c>
      <c r="I8" s="30">
        <v>1</v>
      </c>
      <c r="J8" s="30">
        <v>0</v>
      </c>
      <c r="K8" s="30">
        <v>0</v>
      </c>
      <c r="L8" s="30">
        <v>0</v>
      </c>
      <c r="M8" s="30">
        <v>0</v>
      </c>
      <c r="N8" s="30">
        <v>1</v>
      </c>
      <c r="O8" s="68">
        <f t="shared" si="0"/>
        <v>3</v>
      </c>
    </row>
    <row r="9" spans="2:15" ht="16.95" customHeight="1" x14ac:dyDescent="0.3">
      <c r="B9" s="62" t="s">
        <v>114</v>
      </c>
      <c r="C9" s="30">
        <f>IF(I3=1,0,1)</f>
        <v>0</v>
      </c>
      <c r="D9" s="30">
        <f>IF(I4=1,0,1)</f>
        <v>0</v>
      </c>
      <c r="E9" s="30">
        <f>IF(I5=1,0,1)</f>
        <v>0</v>
      </c>
      <c r="F9" s="30">
        <f>IF(I6=1,0,1)</f>
        <v>0</v>
      </c>
      <c r="G9" s="30">
        <f>IF(I7=1,0,1)</f>
        <v>0</v>
      </c>
      <c r="H9" s="30">
        <f>IF(I8=1,0,1)</f>
        <v>0</v>
      </c>
      <c r="I9" s="60" t="s">
        <v>18</v>
      </c>
      <c r="J9" s="30">
        <v>0</v>
      </c>
      <c r="K9" s="30">
        <v>0</v>
      </c>
      <c r="L9" s="30">
        <v>0</v>
      </c>
      <c r="M9" s="30">
        <v>0</v>
      </c>
      <c r="N9" s="30">
        <v>1</v>
      </c>
      <c r="O9" s="68">
        <f t="shared" si="0"/>
        <v>1</v>
      </c>
    </row>
    <row r="10" spans="2:15" ht="16.95" customHeight="1" x14ac:dyDescent="0.3">
      <c r="B10" s="63" t="s">
        <v>115</v>
      </c>
      <c r="C10" s="30">
        <f>IF(J3=1,0,1)</f>
        <v>0</v>
      </c>
      <c r="D10" s="30">
        <f>IF(J4=1,0,1)</f>
        <v>1</v>
      </c>
      <c r="E10" s="30">
        <f>IF(J5=1,0,1)</f>
        <v>0</v>
      </c>
      <c r="F10" s="30">
        <f>IF(J6=1,0,1)</f>
        <v>1</v>
      </c>
      <c r="G10" s="30">
        <f>IF(J7=1,0,1)</f>
        <v>0</v>
      </c>
      <c r="H10" s="30">
        <f>IF(J8=1,0,1)</f>
        <v>1</v>
      </c>
      <c r="I10" s="30">
        <f>IF(J9=1,0,1)</f>
        <v>1</v>
      </c>
      <c r="J10" s="60" t="s">
        <v>18</v>
      </c>
      <c r="K10" s="30">
        <v>0</v>
      </c>
      <c r="L10" s="30">
        <v>0</v>
      </c>
      <c r="M10" s="30">
        <v>0</v>
      </c>
      <c r="N10" s="30">
        <v>0</v>
      </c>
      <c r="O10" s="68">
        <f t="shared" si="0"/>
        <v>4</v>
      </c>
    </row>
    <row r="11" spans="2:15" ht="16.95" customHeight="1" x14ac:dyDescent="0.3">
      <c r="B11" s="63" t="s">
        <v>116</v>
      </c>
      <c r="C11" s="30">
        <f>IF(K3=1,0,1)</f>
        <v>1</v>
      </c>
      <c r="D11" s="30">
        <f>IF(K4=1,0,1)</f>
        <v>1</v>
      </c>
      <c r="E11" s="30">
        <f>IF(K5=1,0,1)</f>
        <v>0</v>
      </c>
      <c r="F11" s="30">
        <f>IF(K6=1,0,1)</f>
        <v>1</v>
      </c>
      <c r="G11" s="30">
        <f>IF(K7=1,0,1)</f>
        <v>1</v>
      </c>
      <c r="H11" s="30">
        <f>IF(K8=1,0,1)</f>
        <v>1</v>
      </c>
      <c r="I11" s="30">
        <f>IF(K9=1,0,1)</f>
        <v>1</v>
      </c>
      <c r="J11" s="30">
        <f>IF(K10=1,0,1)</f>
        <v>1</v>
      </c>
      <c r="K11" s="60" t="s">
        <v>18</v>
      </c>
      <c r="L11" s="30">
        <v>1</v>
      </c>
      <c r="M11" s="30">
        <v>1</v>
      </c>
      <c r="N11" s="30">
        <v>1</v>
      </c>
      <c r="O11" s="68">
        <f t="shared" si="0"/>
        <v>10</v>
      </c>
    </row>
    <row r="12" spans="2:15" ht="16.95" customHeight="1" x14ac:dyDescent="0.3">
      <c r="B12" s="63" t="s">
        <v>117</v>
      </c>
      <c r="C12" s="30">
        <f>IF(L3=1,0,1)</f>
        <v>0</v>
      </c>
      <c r="D12" s="30">
        <f>IF(L4=1,0,1)</f>
        <v>1</v>
      </c>
      <c r="E12" s="30">
        <f>IF(L5=1,0,1)</f>
        <v>0</v>
      </c>
      <c r="F12" s="30">
        <f>IF(L6=1,0,1)</f>
        <v>1</v>
      </c>
      <c r="G12" s="30">
        <f>IF(L7=1,0,1)</f>
        <v>1</v>
      </c>
      <c r="H12" s="30">
        <f>IF(L8=1,0,1)</f>
        <v>1</v>
      </c>
      <c r="I12" s="30">
        <f>IF(L9=1,0,1)</f>
        <v>1</v>
      </c>
      <c r="J12" s="30">
        <f>IF(L10=1,0,1)</f>
        <v>1</v>
      </c>
      <c r="K12" s="30">
        <f>IF(L11=1,0,1)</f>
        <v>0</v>
      </c>
      <c r="L12" s="60" t="s">
        <v>18</v>
      </c>
      <c r="M12" s="30">
        <v>1</v>
      </c>
      <c r="N12" s="30">
        <v>1</v>
      </c>
      <c r="O12" s="68">
        <f t="shared" si="0"/>
        <v>8</v>
      </c>
    </row>
    <row r="13" spans="2:15" ht="16.95" customHeight="1" x14ac:dyDescent="0.3">
      <c r="B13" s="63" t="s">
        <v>121</v>
      </c>
      <c r="C13" s="30">
        <f>IF(M3=1,0,1)</f>
        <v>0</v>
      </c>
      <c r="D13" s="30">
        <f>IF(M4=1,0,1)</f>
        <v>1</v>
      </c>
      <c r="E13" s="30">
        <f>IF(M5=1,0,1)</f>
        <v>0</v>
      </c>
      <c r="F13" s="30">
        <f>IF(M6=1,0,1)</f>
        <v>1</v>
      </c>
      <c r="G13" s="30">
        <f>IF(M7=1,0,1)</f>
        <v>1</v>
      </c>
      <c r="H13" s="30">
        <f>IF(M8=1,0,1)</f>
        <v>1</v>
      </c>
      <c r="I13" s="30">
        <f>IF(M9=1,0,1)</f>
        <v>1</v>
      </c>
      <c r="J13" s="30">
        <f>IF(M10=1,0,1)</f>
        <v>1</v>
      </c>
      <c r="K13" s="30">
        <f>IF(M11=1,0,1)</f>
        <v>0</v>
      </c>
      <c r="L13" s="30">
        <f>IF(M12=1,0,1)</f>
        <v>0</v>
      </c>
      <c r="M13" s="60" t="s">
        <v>18</v>
      </c>
      <c r="N13" s="30">
        <v>1</v>
      </c>
      <c r="O13" s="68">
        <f t="shared" si="0"/>
        <v>7</v>
      </c>
    </row>
    <row r="14" spans="2:15" ht="16.95" customHeight="1" x14ac:dyDescent="0.3">
      <c r="B14" s="62" t="s">
        <v>122</v>
      </c>
      <c r="C14" s="30">
        <f>IF(N3=1,0,1)</f>
        <v>0</v>
      </c>
      <c r="D14" s="30">
        <f>IF(N4=1,0,1)</f>
        <v>0</v>
      </c>
      <c r="E14" s="30">
        <f>IF(N5=1,0,1)</f>
        <v>0</v>
      </c>
      <c r="F14" s="30">
        <f>IF(N6=1,0,1)</f>
        <v>0</v>
      </c>
      <c r="G14" s="30">
        <f>IF(N7=1,0,1)</f>
        <v>0</v>
      </c>
      <c r="H14" s="30">
        <f>IF(N8=1,0,1)</f>
        <v>0</v>
      </c>
      <c r="I14" s="30">
        <f>IF(N9=1,0,1)</f>
        <v>0</v>
      </c>
      <c r="J14" s="30">
        <f>IF(N10=1,0,1)</f>
        <v>1</v>
      </c>
      <c r="K14" s="30">
        <f>IF(N11=1,0,1)</f>
        <v>0</v>
      </c>
      <c r="L14" s="30">
        <f>IF(N12=1,0,1)</f>
        <v>0</v>
      </c>
      <c r="M14" s="30">
        <f>IF(N13=1,0,1)</f>
        <v>0</v>
      </c>
      <c r="N14" s="60" t="s">
        <v>18</v>
      </c>
      <c r="O14" s="68">
        <f t="shared" si="0"/>
        <v>1</v>
      </c>
    </row>
    <row r="15" spans="2:15" x14ac:dyDescent="0.3">
      <c r="B15" s="67" t="s">
        <v>118</v>
      </c>
      <c r="C15" s="68">
        <f>SUM(C3:C14)</f>
        <v>2</v>
      </c>
      <c r="D15" s="68">
        <f t="shared" ref="D15:N15" si="1">SUM(D3:D14)</f>
        <v>9</v>
      </c>
      <c r="E15" s="68">
        <f t="shared" si="1"/>
        <v>0</v>
      </c>
      <c r="F15" s="68">
        <f t="shared" si="1"/>
        <v>7</v>
      </c>
      <c r="G15" s="68">
        <f t="shared" si="1"/>
        <v>5</v>
      </c>
      <c r="H15" s="68">
        <f t="shared" si="1"/>
        <v>8</v>
      </c>
      <c r="I15" s="68">
        <f t="shared" si="1"/>
        <v>10</v>
      </c>
      <c r="J15" s="68">
        <f t="shared" si="1"/>
        <v>7</v>
      </c>
      <c r="K15" s="68">
        <f t="shared" si="1"/>
        <v>1</v>
      </c>
      <c r="L15" s="68">
        <f t="shared" si="1"/>
        <v>3</v>
      </c>
      <c r="M15" s="68">
        <f t="shared" si="1"/>
        <v>4</v>
      </c>
      <c r="N15" s="68">
        <f t="shared" si="1"/>
        <v>10</v>
      </c>
      <c r="O15" s="31"/>
    </row>
    <row r="16" spans="2:15" x14ac:dyDescent="0.3">
      <c r="B16" s="67" t="s">
        <v>123</v>
      </c>
      <c r="C16" s="68">
        <f>O3+C15</f>
        <v>11</v>
      </c>
      <c r="D16" s="68">
        <f>O4+D15</f>
        <v>11</v>
      </c>
      <c r="E16" s="68">
        <f>O5+E15</f>
        <v>11</v>
      </c>
      <c r="F16" s="68">
        <f>O6+F15</f>
        <v>11</v>
      </c>
      <c r="G16" s="68">
        <f>O7+G15</f>
        <v>11</v>
      </c>
      <c r="H16" s="68">
        <f>O8+H15</f>
        <v>11</v>
      </c>
      <c r="I16" s="68">
        <f>O9+I15</f>
        <v>11</v>
      </c>
      <c r="J16" s="68">
        <f>O10+J15</f>
        <v>11</v>
      </c>
      <c r="K16" s="68">
        <f>O11+K15</f>
        <v>11</v>
      </c>
      <c r="L16" s="68">
        <f>O12+L15</f>
        <v>11</v>
      </c>
      <c r="M16" s="68">
        <f>O13+M15</f>
        <v>11</v>
      </c>
      <c r="N16" s="68">
        <f>O14+N15</f>
        <v>11</v>
      </c>
      <c r="O1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7F24-673B-4EB9-BBAE-FF9A1C44072A}">
  <dimension ref="A1:Q31"/>
  <sheetViews>
    <sheetView zoomScaleNormal="100" workbookViewId="0">
      <selection activeCell="F33" sqref="F33"/>
    </sheetView>
  </sheetViews>
  <sheetFormatPr defaultRowHeight="14.4" x14ac:dyDescent="0.3"/>
  <cols>
    <col min="3" max="3" width="17" customWidth="1"/>
    <col min="5" max="6" width="8.88671875" customWidth="1"/>
    <col min="7" max="7" width="11.5546875" customWidth="1"/>
  </cols>
  <sheetData>
    <row r="1" spans="1:16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" customHeight="1" x14ac:dyDescent="0.3">
      <c r="A4" s="3"/>
      <c r="B4" s="3"/>
      <c r="C4" s="107" t="s">
        <v>0</v>
      </c>
      <c r="D4" s="107"/>
      <c r="E4" s="106" t="s">
        <v>1</v>
      </c>
      <c r="F4" s="106"/>
      <c r="G4" s="106"/>
      <c r="H4" s="106"/>
      <c r="I4" s="106"/>
      <c r="J4" s="106"/>
      <c r="K4" s="106"/>
      <c r="L4" s="106"/>
      <c r="M4" s="106"/>
      <c r="N4" s="106"/>
      <c r="O4" s="32"/>
      <c r="P4" s="32"/>
    </row>
    <row r="5" spans="1:16" x14ac:dyDescent="0.3">
      <c r="A5" s="3"/>
      <c r="B5" s="3"/>
      <c r="C5" s="108" t="s">
        <v>2</v>
      </c>
      <c r="D5" s="108"/>
      <c r="E5" s="105" t="s">
        <v>3</v>
      </c>
      <c r="F5" s="105" t="s">
        <v>145</v>
      </c>
      <c r="G5" s="105" t="s">
        <v>4</v>
      </c>
      <c r="H5" s="105" t="s">
        <v>4</v>
      </c>
      <c r="I5" s="105" t="s">
        <v>145</v>
      </c>
      <c r="J5" s="105" t="s">
        <v>4</v>
      </c>
      <c r="K5" s="105" t="s">
        <v>4</v>
      </c>
      <c r="L5" s="105" t="s">
        <v>4</v>
      </c>
      <c r="M5" s="105" t="s">
        <v>145</v>
      </c>
      <c r="N5" s="105" t="s">
        <v>4</v>
      </c>
    </row>
    <row r="6" spans="1:16" x14ac:dyDescent="0.3">
      <c r="A6" s="3"/>
      <c r="B6" s="3"/>
      <c r="C6" s="108"/>
      <c r="D6" s="108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6" x14ac:dyDescent="0.3">
      <c r="A7" s="3"/>
      <c r="B7" s="3"/>
      <c r="C7" s="109" t="s">
        <v>5</v>
      </c>
      <c r="D7" s="109"/>
      <c r="E7" s="78" t="s">
        <v>144</v>
      </c>
      <c r="F7" s="78" t="s">
        <v>144</v>
      </c>
      <c r="G7" s="78" t="s">
        <v>78</v>
      </c>
      <c r="H7" s="78" t="s">
        <v>71</v>
      </c>
      <c r="I7" s="78" t="s">
        <v>71</v>
      </c>
      <c r="J7" s="78" t="s">
        <v>78</v>
      </c>
      <c r="K7" s="78" t="s">
        <v>78</v>
      </c>
      <c r="L7" s="78" t="s">
        <v>78</v>
      </c>
      <c r="M7" s="79" t="s">
        <v>72</v>
      </c>
      <c r="N7" s="79" t="s">
        <v>83</v>
      </c>
    </row>
    <row r="8" spans="1:16" x14ac:dyDescent="0.3">
      <c r="A8" s="3"/>
      <c r="B8" s="3"/>
      <c r="C8" s="110" t="s">
        <v>6</v>
      </c>
      <c r="D8" s="111" t="s">
        <v>7</v>
      </c>
      <c r="E8" s="113" t="s">
        <v>106</v>
      </c>
      <c r="F8" s="113" t="s">
        <v>107</v>
      </c>
      <c r="G8" s="112" t="s">
        <v>68</v>
      </c>
      <c r="H8" s="113" t="s">
        <v>132</v>
      </c>
      <c r="I8" s="113" t="s">
        <v>133</v>
      </c>
      <c r="J8" s="113" t="s">
        <v>75</v>
      </c>
      <c r="K8" s="113" t="s">
        <v>76</v>
      </c>
      <c r="L8" s="113" t="s">
        <v>77</v>
      </c>
      <c r="M8" s="113" t="s">
        <v>105</v>
      </c>
      <c r="N8" s="114" t="s">
        <v>85</v>
      </c>
    </row>
    <row r="9" spans="1:16" x14ac:dyDescent="0.3">
      <c r="A9" s="3"/>
      <c r="B9" s="3"/>
      <c r="C9" s="110"/>
      <c r="D9" s="111"/>
      <c r="E9" s="113"/>
      <c r="F9" s="113"/>
      <c r="G9" s="112"/>
      <c r="H9" s="113"/>
      <c r="I9" s="113"/>
      <c r="J9" s="113"/>
      <c r="K9" s="113"/>
      <c r="L9" s="113"/>
      <c r="M9" s="113"/>
      <c r="N9" s="113"/>
    </row>
    <row r="10" spans="1:16" x14ac:dyDescent="0.3">
      <c r="A10" s="3"/>
      <c r="B10" s="3"/>
      <c r="C10" s="110"/>
      <c r="D10" s="111"/>
      <c r="E10" s="113"/>
      <c r="F10" s="113"/>
      <c r="G10" s="112"/>
      <c r="H10" s="113"/>
      <c r="I10" s="113"/>
      <c r="J10" s="113"/>
      <c r="K10" s="113"/>
      <c r="L10" s="113"/>
      <c r="M10" s="113"/>
      <c r="N10" s="113"/>
    </row>
    <row r="11" spans="1:16" x14ac:dyDescent="0.3">
      <c r="A11" s="3"/>
      <c r="B11" s="3"/>
      <c r="C11" s="110"/>
      <c r="D11" s="111"/>
      <c r="E11" s="113"/>
      <c r="F11" s="113"/>
      <c r="G11" s="112"/>
      <c r="H11" s="113"/>
      <c r="I11" s="113"/>
      <c r="J11" s="113"/>
      <c r="K11" s="113"/>
      <c r="L11" s="113"/>
      <c r="M11" s="113"/>
      <c r="N11" s="113"/>
    </row>
    <row r="12" spans="1:16" x14ac:dyDescent="0.3">
      <c r="A12" s="3"/>
      <c r="B12" s="3"/>
      <c r="C12" s="110"/>
      <c r="D12" s="111"/>
      <c r="E12" s="113"/>
      <c r="F12" s="113"/>
      <c r="G12" s="112"/>
      <c r="H12" s="113"/>
      <c r="I12" s="113"/>
      <c r="J12" s="113"/>
      <c r="K12" s="113"/>
      <c r="L12" s="113"/>
      <c r="M12" s="113"/>
      <c r="N12" s="113"/>
    </row>
    <row r="13" spans="1:16" x14ac:dyDescent="0.3">
      <c r="A13" s="3"/>
      <c r="B13" s="3"/>
      <c r="C13" s="110"/>
      <c r="D13" s="111"/>
      <c r="E13" s="113"/>
      <c r="F13" s="113"/>
      <c r="G13" s="112"/>
      <c r="H13" s="113"/>
      <c r="I13" s="113"/>
      <c r="J13" s="113"/>
      <c r="K13" s="113"/>
      <c r="L13" s="113"/>
      <c r="M13" s="113"/>
      <c r="N13" s="113"/>
    </row>
    <row r="14" spans="1:16" x14ac:dyDescent="0.3">
      <c r="A14" s="3"/>
      <c r="B14" s="3"/>
      <c r="C14" s="110"/>
      <c r="D14" s="111"/>
      <c r="E14" s="113"/>
      <c r="F14" s="113"/>
      <c r="G14" s="112"/>
      <c r="H14" s="113"/>
      <c r="I14" s="113"/>
      <c r="J14" s="113"/>
      <c r="K14" s="113"/>
      <c r="L14" s="113"/>
      <c r="M14" s="113"/>
      <c r="N14" s="113"/>
    </row>
    <row r="15" spans="1:16" x14ac:dyDescent="0.3">
      <c r="A15" s="3"/>
      <c r="B15" s="3"/>
      <c r="C15" s="110"/>
      <c r="D15" s="111"/>
      <c r="E15" s="113"/>
      <c r="F15" s="113"/>
      <c r="G15" s="112"/>
      <c r="H15" s="113"/>
      <c r="I15" s="113"/>
      <c r="J15" s="113"/>
      <c r="K15" s="113"/>
      <c r="L15" s="113"/>
      <c r="M15" s="113"/>
      <c r="N15" s="113"/>
    </row>
    <row r="16" spans="1:16" x14ac:dyDescent="0.3">
      <c r="A16" s="3"/>
      <c r="B16" s="3"/>
      <c r="C16" s="69" t="s">
        <v>74</v>
      </c>
      <c r="D16" s="82">
        <v>9</v>
      </c>
      <c r="E16" s="82">
        <v>3</v>
      </c>
      <c r="F16" s="82"/>
      <c r="G16" s="82" t="s">
        <v>0</v>
      </c>
      <c r="H16" s="82">
        <v>9</v>
      </c>
      <c r="I16" s="82">
        <v>9</v>
      </c>
      <c r="J16" s="82">
        <v>9</v>
      </c>
      <c r="K16" s="82" t="s">
        <v>0</v>
      </c>
      <c r="L16" s="82" t="s">
        <v>0</v>
      </c>
      <c r="M16" s="82">
        <v>3</v>
      </c>
      <c r="N16" s="82">
        <v>9</v>
      </c>
    </row>
    <row r="17" spans="1:17" x14ac:dyDescent="0.3">
      <c r="A17" s="2"/>
      <c r="B17" s="3"/>
      <c r="C17" s="71" t="s">
        <v>69</v>
      </c>
      <c r="D17" s="84">
        <v>2</v>
      </c>
      <c r="E17" s="84">
        <v>1</v>
      </c>
      <c r="F17" s="84">
        <v>1</v>
      </c>
      <c r="G17" s="84">
        <v>1</v>
      </c>
      <c r="H17" s="84">
        <v>3</v>
      </c>
      <c r="I17" s="84"/>
      <c r="J17" s="84">
        <v>3</v>
      </c>
      <c r="K17" s="84">
        <v>3</v>
      </c>
      <c r="L17" s="84"/>
      <c r="M17" s="84">
        <v>1</v>
      </c>
      <c r="N17" s="84">
        <v>9</v>
      </c>
    </row>
    <row r="18" spans="1:17" x14ac:dyDescent="0.3">
      <c r="A18" s="2"/>
      <c r="B18" s="3"/>
      <c r="C18" s="69" t="s">
        <v>70</v>
      </c>
      <c r="D18" s="82">
        <v>11</v>
      </c>
      <c r="E18" s="82">
        <v>1</v>
      </c>
      <c r="F18" s="82"/>
      <c r="G18" s="82"/>
      <c r="H18" s="82">
        <v>9</v>
      </c>
      <c r="I18" s="82">
        <v>9</v>
      </c>
      <c r="J18" s="82">
        <v>9</v>
      </c>
      <c r="K18" s="82"/>
      <c r="L18" s="82"/>
      <c r="M18" s="82">
        <v>3</v>
      </c>
      <c r="N18" s="82"/>
    </row>
    <row r="19" spans="1:17" x14ac:dyDescent="0.3">
      <c r="A19" s="3"/>
      <c r="B19" s="3"/>
      <c r="C19" s="71" t="s">
        <v>73</v>
      </c>
      <c r="D19" s="84">
        <v>4</v>
      </c>
      <c r="E19" s="84">
        <v>9</v>
      </c>
      <c r="F19" s="84">
        <v>1</v>
      </c>
      <c r="G19" s="84">
        <v>3</v>
      </c>
      <c r="H19" s="84"/>
      <c r="I19" s="84"/>
      <c r="J19" s="84">
        <v>3</v>
      </c>
      <c r="K19" s="84"/>
      <c r="L19" s="84"/>
      <c r="M19" s="84">
        <v>3</v>
      </c>
      <c r="N19" s="84"/>
    </row>
    <row r="20" spans="1:17" ht="28.8" x14ac:dyDescent="0.3">
      <c r="A20" s="3"/>
      <c r="B20" s="3"/>
      <c r="C20" s="69" t="s">
        <v>80</v>
      </c>
      <c r="D20" s="82">
        <v>6</v>
      </c>
      <c r="E20" s="82"/>
      <c r="F20" s="82"/>
      <c r="G20" s="82">
        <v>3</v>
      </c>
      <c r="H20" s="82"/>
      <c r="I20" s="82"/>
      <c r="J20" s="82">
        <v>9</v>
      </c>
      <c r="K20" s="82"/>
      <c r="L20" s="82"/>
      <c r="M20" s="82"/>
      <c r="N20" s="82"/>
    </row>
    <row r="21" spans="1:17" x14ac:dyDescent="0.3">
      <c r="A21" s="3"/>
      <c r="B21" s="3"/>
      <c r="C21" s="71" t="s">
        <v>81</v>
      </c>
      <c r="D21" s="84">
        <v>3</v>
      </c>
      <c r="E21" s="84"/>
      <c r="F21" s="84">
        <v>3</v>
      </c>
      <c r="G21" s="84">
        <v>9</v>
      </c>
      <c r="H21" s="84"/>
      <c r="I21" s="84">
        <v>9</v>
      </c>
      <c r="J21" s="84">
        <v>3</v>
      </c>
      <c r="K21" s="84"/>
      <c r="L21" s="84"/>
      <c r="M21" s="84">
        <v>3</v>
      </c>
      <c r="N21" s="84">
        <v>3</v>
      </c>
    </row>
    <row r="22" spans="1:17" x14ac:dyDescent="0.3">
      <c r="A22" s="3"/>
      <c r="B22" s="3"/>
      <c r="C22" s="69" t="s">
        <v>8</v>
      </c>
      <c r="D22" s="82">
        <v>1</v>
      </c>
      <c r="E22" s="82">
        <v>3</v>
      </c>
      <c r="F22" s="82"/>
      <c r="G22" s="82">
        <v>9</v>
      </c>
      <c r="H22" s="82">
        <v>3</v>
      </c>
      <c r="I22" s="82"/>
      <c r="J22" s="83"/>
      <c r="K22" s="82"/>
      <c r="L22" s="82"/>
      <c r="M22" s="82">
        <v>9</v>
      </c>
      <c r="N22" s="82"/>
    </row>
    <row r="23" spans="1:17" x14ac:dyDescent="0.3">
      <c r="A23" s="3"/>
      <c r="B23" s="3"/>
      <c r="C23" s="71" t="s">
        <v>79</v>
      </c>
      <c r="D23" s="84">
        <v>4</v>
      </c>
      <c r="E23" s="84">
        <v>9</v>
      </c>
      <c r="F23" s="84">
        <v>9</v>
      </c>
      <c r="G23" s="84">
        <v>9</v>
      </c>
      <c r="H23" s="84"/>
      <c r="I23" s="84"/>
      <c r="J23" s="84"/>
      <c r="K23" s="84">
        <v>9</v>
      </c>
      <c r="L23" s="84">
        <v>9</v>
      </c>
      <c r="M23" s="84">
        <v>9</v>
      </c>
      <c r="N23" s="84"/>
    </row>
    <row r="24" spans="1:17" x14ac:dyDescent="0.3">
      <c r="A24" s="3"/>
      <c r="B24" s="3"/>
      <c r="C24" s="70" t="s">
        <v>104</v>
      </c>
      <c r="D24" s="81">
        <v>10</v>
      </c>
      <c r="E24" s="81"/>
      <c r="F24" s="81">
        <v>9</v>
      </c>
      <c r="G24" s="81"/>
      <c r="H24" s="81">
        <v>9</v>
      </c>
      <c r="I24" s="81">
        <v>9</v>
      </c>
      <c r="J24" s="81">
        <v>9</v>
      </c>
      <c r="K24" s="81">
        <v>9</v>
      </c>
      <c r="L24" s="81">
        <v>9</v>
      </c>
      <c r="M24" s="81"/>
      <c r="N24" s="81"/>
    </row>
    <row r="25" spans="1:17" x14ac:dyDescent="0.3">
      <c r="A25" s="3"/>
      <c r="B25" s="3"/>
      <c r="C25" s="71" t="s">
        <v>82</v>
      </c>
      <c r="D25" s="84">
        <v>8</v>
      </c>
      <c r="E25" s="84">
        <v>3</v>
      </c>
      <c r="F25" s="84"/>
      <c r="G25" s="84">
        <v>9</v>
      </c>
      <c r="H25" s="84"/>
      <c r="I25" s="84"/>
      <c r="J25" s="84">
        <v>9</v>
      </c>
      <c r="K25" s="84"/>
      <c r="L25" s="84"/>
      <c r="M25" s="84">
        <v>9</v>
      </c>
      <c r="N25" s="84"/>
    </row>
    <row r="26" spans="1:17" x14ac:dyDescent="0.3">
      <c r="A26" s="3"/>
      <c r="B26" s="3"/>
      <c r="C26" s="71" t="s">
        <v>103</v>
      </c>
      <c r="D26" s="81">
        <v>7</v>
      </c>
      <c r="E26" s="81">
        <v>9</v>
      </c>
      <c r="F26" s="81"/>
      <c r="G26" s="81">
        <v>9</v>
      </c>
      <c r="H26" s="81">
        <v>1</v>
      </c>
      <c r="I26" s="81">
        <v>1</v>
      </c>
      <c r="J26" s="81"/>
      <c r="K26" s="81"/>
      <c r="L26" s="81"/>
      <c r="M26" s="81">
        <v>9</v>
      </c>
      <c r="N26" s="81">
        <v>1</v>
      </c>
    </row>
    <row r="27" spans="1:17" x14ac:dyDescent="0.3">
      <c r="A27" s="3"/>
      <c r="B27" s="3"/>
      <c r="C27" s="69" t="s">
        <v>84</v>
      </c>
      <c r="D27" s="80">
        <v>1</v>
      </c>
      <c r="E27" s="80"/>
      <c r="F27" s="80">
        <v>3</v>
      </c>
      <c r="G27" s="85"/>
      <c r="H27" s="80"/>
      <c r="I27" s="80"/>
      <c r="J27" s="80"/>
      <c r="K27" s="80">
        <v>3</v>
      </c>
      <c r="L27" s="80"/>
      <c r="M27" s="80"/>
      <c r="N27" s="80">
        <v>3</v>
      </c>
    </row>
    <row r="28" spans="1:17" x14ac:dyDescent="0.3">
      <c r="A28" s="3"/>
      <c r="B28" s="3"/>
      <c r="C28" s="115" t="s">
        <v>119</v>
      </c>
      <c r="D28" s="115"/>
      <c r="E28" s="72">
        <f>(D16*E16)+(D17*E17)+(D18*E18)+(D19*E19)+(D22*E22)+(D23*E23)+(D25*E25)+(D26*E26)</f>
        <v>202</v>
      </c>
      <c r="F28" s="72">
        <f>(D17*F17)+(D19*F19)+(D21*F21)+(D23*F23)+(D24*F24)+(D27*F27)</f>
        <v>144</v>
      </c>
      <c r="G28" s="73">
        <f>(D17*G17)+(D19*G19)+(D20*G20)+(D21*G21)+(D22*G22)+(D23*G23)+(D25*G25)+(D26*G26)</f>
        <v>239</v>
      </c>
      <c r="H28" s="74">
        <f>(D16*H16)+(D17*H17)+(D18*H18)+(D22*H22)+(D24*H24)+(D26*H26)</f>
        <v>286</v>
      </c>
      <c r="I28" s="74">
        <f>(D16*I16)+(D17*I17)+(D18*I18)+(D22*I22)+(D24*I24)+(D26*I26)</f>
        <v>277</v>
      </c>
      <c r="J28" s="74">
        <f>(D16*J16)+(D17*J17)+(D18*J18)+(D19*J19)+(D20*J20)+(D21*J21)+(D24*J24)+(D25*J25)</f>
        <v>423</v>
      </c>
      <c r="K28" s="74">
        <f>(D17*K17)+(D23*K23)+(D24*K24)+(D27*K27)</f>
        <v>135</v>
      </c>
      <c r="L28" s="74">
        <f>(D23*L23)+(D24*L24)</f>
        <v>126</v>
      </c>
      <c r="M28" s="74">
        <f>(D16*M16)+(D17*M17)+(D18*M18)+(D19*M19)+(D21*M21)+(D22*M22)+(D23*M23)+(D25*M25)+(D26*M26)</f>
        <v>263</v>
      </c>
      <c r="N28" s="74">
        <f>(D16*N16)+(D17*N17)+(D21*N21)+(D27*N27)+(D26*N26)</f>
        <v>118</v>
      </c>
      <c r="P28">
        <f>E28+F28+G28+H28+I28+J28+K28+L28+M28+N28</f>
        <v>2213</v>
      </c>
    </row>
    <row r="29" spans="1:17" x14ac:dyDescent="0.3">
      <c r="C29" s="116" t="s">
        <v>86</v>
      </c>
      <c r="D29" s="116"/>
      <c r="E29" s="75">
        <f t="shared" ref="E29:N29" si="0">(E28/$P$28)*100</f>
        <v>9.1278807049254418</v>
      </c>
      <c r="F29" s="75">
        <f t="shared" si="0"/>
        <v>6.507004066877542</v>
      </c>
      <c r="G29" s="75">
        <f t="shared" si="0"/>
        <v>10.799819249887031</v>
      </c>
      <c r="H29" s="75">
        <f t="shared" si="0"/>
        <v>12.923633077270674</v>
      </c>
      <c r="I29" s="75">
        <f t="shared" si="0"/>
        <v>12.516945323090829</v>
      </c>
      <c r="J29" s="75">
        <f t="shared" si="0"/>
        <v>19.11432444645278</v>
      </c>
      <c r="K29" s="75">
        <f t="shared" si="0"/>
        <v>6.1003163126976956</v>
      </c>
      <c r="L29" s="75">
        <f t="shared" si="0"/>
        <v>5.6936285585178492</v>
      </c>
      <c r="M29" s="75">
        <f t="shared" si="0"/>
        <v>11.884319927699954</v>
      </c>
      <c r="N29" s="75">
        <f t="shared" si="0"/>
        <v>5.3321283325802078</v>
      </c>
      <c r="P29" s="20" t="s">
        <v>9</v>
      </c>
      <c r="Q29" s="33">
        <f>AVERAGE(E29:N29)</f>
        <v>10</v>
      </c>
    </row>
    <row r="30" spans="1:17" x14ac:dyDescent="0.3">
      <c r="C30" s="117" t="s">
        <v>10</v>
      </c>
      <c r="D30" s="117"/>
      <c r="E30" s="76">
        <v>6</v>
      </c>
      <c r="F30" s="76">
        <v>7</v>
      </c>
      <c r="G30" s="77">
        <v>5</v>
      </c>
      <c r="H30" s="77">
        <v>2</v>
      </c>
      <c r="I30" s="77">
        <v>3</v>
      </c>
      <c r="J30" s="77">
        <v>1</v>
      </c>
      <c r="K30" s="77">
        <v>8</v>
      </c>
      <c r="L30" s="77">
        <v>9</v>
      </c>
      <c r="M30" s="77">
        <v>4</v>
      </c>
      <c r="N30" s="77">
        <v>10</v>
      </c>
    </row>
    <row r="31" spans="1:17" x14ac:dyDescent="0.3">
      <c r="G31" s="14"/>
    </row>
  </sheetData>
  <mergeCells count="29">
    <mergeCell ref="C28:D28"/>
    <mergeCell ref="C29:D29"/>
    <mergeCell ref="C30:D30"/>
    <mergeCell ref="J8:J15"/>
    <mergeCell ref="I8:I15"/>
    <mergeCell ref="K8:K15"/>
    <mergeCell ref="L8:L15"/>
    <mergeCell ref="M8:M15"/>
    <mergeCell ref="N8:N15"/>
    <mergeCell ref="L5:L6"/>
    <mergeCell ref="M5:M6"/>
    <mergeCell ref="N5:N6"/>
    <mergeCell ref="C7:D7"/>
    <mergeCell ref="C8:C15"/>
    <mergeCell ref="D8:D15"/>
    <mergeCell ref="G8:G15"/>
    <mergeCell ref="H8:H15"/>
    <mergeCell ref="E8:E15"/>
    <mergeCell ref="F8:F15"/>
    <mergeCell ref="C4:D4"/>
    <mergeCell ref="C5:D6"/>
    <mergeCell ref="G5:G6"/>
    <mergeCell ref="H5:H6"/>
    <mergeCell ref="I5:I6"/>
    <mergeCell ref="J5:J6"/>
    <mergeCell ref="K5:K6"/>
    <mergeCell ref="E4:N4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FF53-8C0D-44E2-99A2-9415B57C7CC6}">
  <dimension ref="A1:P29"/>
  <sheetViews>
    <sheetView tabSelected="1" zoomScale="80" zoomScaleNormal="80" workbookViewId="0">
      <selection activeCell="N18" sqref="N18"/>
    </sheetView>
  </sheetViews>
  <sheetFormatPr defaultRowHeight="14.4" x14ac:dyDescent="0.3"/>
  <cols>
    <col min="2" max="2" width="36.109375" customWidth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18" t="s">
        <v>11</v>
      </c>
      <c r="C2" s="118"/>
      <c r="D2" s="118"/>
      <c r="E2" s="118"/>
      <c r="F2" s="118"/>
      <c r="G2" s="118"/>
      <c r="H2" s="118"/>
      <c r="I2" s="118"/>
      <c r="J2" s="118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19" t="s">
        <v>12</v>
      </c>
      <c r="E3" s="119"/>
      <c r="F3" s="119"/>
      <c r="G3" s="119"/>
      <c r="H3" s="119"/>
      <c r="I3" s="119"/>
      <c r="J3" s="119"/>
      <c r="K3" s="1"/>
      <c r="L3" s="1"/>
      <c r="M3" s="1"/>
      <c r="N3" s="1"/>
      <c r="O3" s="1"/>
      <c r="P3" s="1"/>
    </row>
    <row r="4" spans="1:16" x14ac:dyDescent="0.3">
      <c r="A4" s="1"/>
      <c r="B4" s="86" t="s">
        <v>13</v>
      </c>
      <c r="C4" s="49" t="s">
        <v>100</v>
      </c>
      <c r="D4" s="36" t="s">
        <v>95</v>
      </c>
      <c r="E4" s="36" t="s">
        <v>14</v>
      </c>
      <c r="F4" s="88" t="s">
        <v>96</v>
      </c>
      <c r="G4" s="88" t="s">
        <v>97</v>
      </c>
      <c r="H4" s="88" t="s">
        <v>98</v>
      </c>
      <c r="I4" s="36" t="s">
        <v>99</v>
      </c>
      <c r="J4" s="36" t="s">
        <v>101</v>
      </c>
      <c r="K4" s="1"/>
      <c r="L4" s="1"/>
      <c r="M4" s="1"/>
      <c r="N4" s="1"/>
      <c r="O4" s="1"/>
      <c r="P4" s="1"/>
    </row>
    <row r="5" spans="1:16" ht="15" customHeight="1" x14ac:dyDescent="0.3">
      <c r="A5" s="1"/>
      <c r="B5" s="87" t="s">
        <v>106</v>
      </c>
      <c r="C5" s="121" t="s">
        <v>15</v>
      </c>
      <c r="D5" s="35" t="s">
        <v>16</v>
      </c>
      <c r="E5" s="50" t="s">
        <v>18</v>
      </c>
      <c r="F5" s="89" t="s">
        <v>16</v>
      </c>
      <c r="G5" s="90" t="s">
        <v>18</v>
      </c>
      <c r="H5" s="90" t="s">
        <v>16</v>
      </c>
      <c r="I5" s="35" t="s">
        <v>18</v>
      </c>
      <c r="J5" s="50" t="s">
        <v>16</v>
      </c>
      <c r="K5" s="3"/>
      <c r="L5" s="2" t="s">
        <v>19</v>
      </c>
      <c r="M5" s="2"/>
      <c r="N5" s="2"/>
      <c r="O5" s="2"/>
      <c r="P5" s="2"/>
    </row>
    <row r="6" spans="1:16" x14ac:dyDescent="0.3">
      <c r="A6" s="1"/>
      <c r="B6" s="87" t="s">
        <v>107</v>
      </c>
      <c r="C6" s="121"/>
      <c r="D6" s="35" t="s">
        <v>17</v>
      </c>
      <c r="E6" s="35" t="s">
        <v>17</v>
      </c>
      <c r="F6" s="88" t="s">
        <v>17</v>
      </c>
      <c r="G6" s="91" t="s">
        <v>17</v>
      </c>
      <c r="H6" s="91" t="s">
        <v>17</v>
      </c>
      <c r="I6" s="35" t="s">
        <v>16</v>
      </c>
      <c r="J6" s="50" t="s">
        <v>18</v>
      </c>
      <c r="K6" s="3"/>
      <c r="L6" s="1"/>
      <c r="M6" s="1"/>
      <c r="N6" s="1"/>
      <c r="O6" s="1"/>
      <c r="P6" s="1"/>
    </row>
    <row r="7" spans="1:16" x14ac:dyDescent="0.3">
      <c r="A7" s="1"/>
      <c r="B7" s="87" t="s">
        <v>68</v>
      </c>
      <c r="C7" s="121"/>
      <c r="D7" s="35" t="s">
        <v>16</v>
      </c>
      <c r="E7" s="35" t="s">
        <v>16</v>
      </c>
      <c r="F7" s="88" t="s">
        <v>18</v>
      </c>
      <c r="G7" s="91" t="s">
        <v>18</v>
      </c>
      <c r="H7" s="91" t="s">
        <v>18</v>
      </c>
      <c r="I7" s="35" t="s">
        <v>16</v>
      </c>
      <c r="J7" s="35" t="s">
        <v>17</v>
      </c>
      <c r="K7" s="3"/>
      <c r="L7" s="1"/>
      <c r="M7" s="1"/>
      <c r="N7" s="1"/>
      <c r="O7" s="1"/>
      <c r="P7" s="1"/>
    </row>
    <row r="8" spans="1:16" x14ac:dyDescent="0.3">
      <c r="A8" s="1"/>
      <c r="B8" s="87" t="s">
        <v>131</v>
      </c>
      <c r="C8" s="121"/>
      <c r="D8" s="35" t="s">
        <v>16</v>
      </c>
      <c r="E8" s="35" t="s">
        <v>16</v>
      </c>
      <c r="F8" s="88" t="s">
        <v>18</v>
      </c>
      <c r="G8" s="88" t="s">
        <v>16</v>
      </c>
      <c r="H8" s="91" t="s">
        <v>18</v>
      </c>
      <c r="I8" s="35" t="s">
        <v>17</v>
      </c>
      <c r="J8" s="50" t="s">
        <v>17</v>
      </c>
      <c r="K8" s="3"/>
      <c r="L8" s="1"/>
      <c r="M8" s="1"/>
      <c r="O8" s="1"/>
      <c r="P8" s="1"/>
    </row>
    <row r="9" spans="1:16" x14ac:dyDescent="0.3">
      <c r="A9" s="1"/>
      <c r="B9" s="87" t="s">
        <v>133</v>
      </c>
      <c r="C9" s="121"/>
      <c r="D9" s="50" t="s">
        <v>17</v>
      </c>
      <c r="E9" s="50" t="s">
        <v>17</v>
      </c>
      <c r="F9" s="89" t="s">
        <v>18</v>
      </c>
      <c r="G9" s="88" t="s">
        <v>18</v>
      </c>
      <c r="H9" s="90" t="s">
        <v>17</v>
      </c>
      <c r="I9" s="35" t="s">
        <v>17</v>
      </c>
      <c r="J9" s="50" t="s">
        <v>17</v>
      </c>
      <c r="K9" s="3"/>
      <c r="L9" s="1"/>
      <c r="M9" s="1"/>
      <c r="O9" s="1"/>
      <c r="P9" s="1"/>
    </row>
    <row r="10" spans="1:16" x14ac:dyDescent="0.3">
      <c r="A10" s="1"/>
      <c r="B10" s="87" t="s">
        <v>120</v>
      </c>
      <c r="C10" s="121"/>
      <c r="D10" s="50" t="s">
        <v>16</v>
      </c>
      <c r="E10" s="50" t="s">
        <v>16</v>
      </c>
      <c r="F10" s="89" t="s">
        <v>18</v>
      </c>
      <c r="G10" s="91" t="s">
        <v>17</v>
      </c>
      <c r="H10" s="90" t="s">
        <v>18</v>
      </c>
      <c r="I10" s="35" t="s">
        <v>18</v>
      </c>
      <c r="J10" s="50" t="s">
        <v>16</v>
      </c>
      <c r="K10" s="3"/>
      <c r="L10" s="1"/>
      <c r="M10" s="1"/>
      <c r="O10" s="1"/>
      <c r="P10" s="1"/>
    </row>
    <row r="11" spans="1:16" x14ac:dyDescent="0.3">
      <c r="A11" s="1"/>
      <c r="B11" s="87" t="s">
        <v>76</v>
      </c>
      <c r="C11" s="121"/>
      <c r="D11" s="50" t="s">
        <v>17</v>
      </c>
      <c r="E11" s="50" t="s">
        <v>17</v>
      </c>
      <c r="F11" s="90" t="s">
        <v>17</v>
      </c>
      <c r="G11" s="91" t="s">
        <v>17</v>
      </c>
      <c r="H11" s="90" t="s">
        <v>17</v>
      </c>
      <c r="I11" s="35" t="s">
        <v>17</v>
      </c>
      <c r="J11" s="50" t="s">
        <v>18</v>
      </c>
      <c r="K11" s="3"/>
      <c r="L11" s="1"/>
      <c r="M11" s="1"/>
      <c r="O11" s="1"/>
      <c r="P11" s="1"/>
    </row>
    <row r="12" spans="1:16" x14ac:dyDescent="0.3">
      <c r="A12" s="1"/>
      <c r="B12" s="87" t="s">
        <v>77</v>
      </c>
      <c r="C12" s="121"/>
      <c r="D12" s="35" t="s">
        <v>17</v>
      </c>
      <c r="E12" s="35" t="s">
        <v>17</v>
      </c>
      <c r="F12" s="91" t="s">
        <v>17</v>
      </c>
      <c r="G12" s="91" t="s">
        <v>18</v>
      </c>
      <c r="H12" s="91" t="s">
        <v>17</v>
      </c>
      <c r="I12" s="35" t="s">
        <v>18</v>
      </c>
      <c r="J12" s="35" t="s">
        <v>17</v>
      </c>
      <c r="K12" s="3"/>
      <c r="L12" s="1"/>
      <c r="M12" s="1"/>
      <c r="O12" s="1"/>
      <c r="P12" s="1"/>
    </row>
    <row r="13" spans="1:16" x14ac:dyDescent="0.3">
      <c r="A13" s="1"/>
      <c r="B13" s="87" t="s">
        <v>105</v>
      </c>
      <c r="C13" s="121"/>
      <c r="D13" s="35" t="s">
        <v>16</v>
      </c>
      <c r="E13" s="35" t="s">
        <v>16</v>
      </c>
      <c r="F13" s="91" t="s">
        <v>18</v>
      </c>
      <c r="G13" s="91" t="s">
        <v>16</v>
      </c>
      <c r="H13" s="91" t="s">
        <v>16</v>
      </c>
      <c r="I13" s="35" t="s">
        <v>16</v>
      </c>
      <c r="J13" s="35" t="s">
        <v>16</v>
      </c>
      <c r="K13" s="3"/>
      <c r="L13" s="1"/>
      <c r="M13" s="1"/>
      <c r="O13" s="1"/>
      <c r="P13" s="1"/>
    </row>
    <row r="14" spans="1:16" x14ac:dyDescent="0.3">
      <c r="A14" s="1"/>
      <c r="B14" s="87" t="s">
        <v>85</v>
      </c>
      <c r="C14" s="121"/>
      <c r="D14" s="35" t="s">
        <v>16</v>
      </c>
      <c r="E14" s="35" t="s">
        <v>16</v>
      </c>
      <c r="F14" s="91" t="s">
        <v>16</v>
      </c>
      <c r="G14" s="91" t="s">
        <v>18</v>
      </c>
      <c r="H14" s="90" t="s">
        <v>18</v>
      </c>
      <c r="I14" s="35" t="s">
        <v>17</v>
      </c>
      <c r="J14" s="50" t="s">
        <v>17</v>
      </c>
      <c r="K14" s="3"/>
      <c r="L14" s="1"/>
      <c r="M14" s="1"/>
      <c r="O14" s="1"/>
      <c r="P14" s="1"/>
    </row>
    <row r="15" spans="1:16" x14ac:dyDescent="0.3">
      <c r="A15" s="1"/>
      <c r="B15" s="120" t="s">
        <v>20</v>
      </c>
      <c r="C15" s="120"/>
      <c r="D15" s="93">
        <v>6</v>
      </c>
      <c r="E15" s="93">
        <v>5</v>
      </c>
      <c r="F15" s="93">
        <v>2</v>
      </c>
      <c r="G15" s="93">
        <v>2</v>
      </c>
      <c r="H15" s="93">
        <v>2</v>
      </c>
      <c r="I15" s="93">
        <v>3</v>
      </c>
      <c r="J15" s="93">
        <v>3</v>
      </c>
      <c r="K15" s="3"/>
      <c r="L15" s="1"/>
      <c r="M15" s="1"/>
      <c r="O15" s="1"/>
      <c r="P15" s="1"/>
    </row>
    <row r="16" spans="1:16" x14ac:dyDescent="0.3">
      <c r="A16" s="1"/>
      <c r="B16" s="119" t="s">
        <v>21</v>
      </c>
      <c r="C16" s="119"/>
      <c r="D16" s="93">
        <v>0</v>
      </c>
      <c r="E16" s="93">
        <v>1</v>
      </c>
      <c r="F16" s="93">
        <v>5</v>
      </c>
      <c r="G16" s="93">
        <v>5</v>
      </c>
      <c r="H16" s="93">
        <v>4</v>
      </c>
      <c r="I16" s="93">
        <v>3</v>
      </c>
      <c r="J16" s="93">
        <v>2</v>
      </c>
      <c r="K16" s="1"/>
      <c r="L16" s="1"/>
      <c r="M16" s="1"/>
      <c r="O16" s="1"/>
      <c r="P16" s="1"/>
    </row>
    <row r="17" spans="1:16" x14ac:dyDescent="0.3">
      <c r="A17" s="1"/>
      <c r="C17" s="17"/>
      <c r="D17" s="19"/>
      <c r="E17" s="19"/>
      <c r="F17" s="19"/>
      <c r="G17" s="19"/>
      <c r="H17" s="1"/>
      <c r="I17" s="19"/>
      <c r="J17" s="19"/>
      <c r="K17" s="1"/>
      <c r="L17" s="1"/>
      <c r="M17" s="1"/>
      <c r="O17" s="1"/>
      <c r="P17" s="1"/>
    </row>
    <row r="18" spans="1:16" x14ac:dyDescent="0.3">
      <c r="A18" s="1"/>
      <c r="B18" s="2" t="s">
        <v>92</v>
      </c>
      <c r="K18" s="1"/>
      <c r="L18" s="1"/>
      <c r="M18" s="1"/>
      <c r="O18" s="1"/>
      <c r="P18" s="1"/>
    </row>
    <row r="19" spans="1:16" x14ac:dyDescent="0.3">
      <c r="A19" s="1"/>
      <c r="B19" s="2" t="s">
        <v>87</v>
      </c>
      <c r="K19" s="1"/>
      <c r="L19" s="1"/>
      <c r="M19" s="1"/>
      <c r="O19" s="1"/>
      <c r="P19" s="1"/>
    </row>
    <row r="20" spans="1:16" x14ac:dyDescent="0.3">
      <c r="A20" s="1"/>
      <c r="B20" s="2" t="s">
        <v>88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</row>
    <row r="21" spans="1:16" x14ac:dyDescent="0.3">
      <c r="A21" s="1"/>
      <c r="B21" s="2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2" t="s">
        <v>90</v>
      </c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</row>
    <row r="23" spans="1:16" x14ac:dyDescent="0.3">
      <c r="A23" s="1"/>
      <c r="B23" s="2" t="s">
        <v>91</v>
      </c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2" t="s">
        <v>93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1"/>
      <c r="B25" s="2" t="s">
        <v>94</v>
      </c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</row>
    <row r="26" spans="1:16" x14ac:dyDescent="0.3">
      <c r="A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ht="15.6" x14ac:dyDescent="0.3">
      <c r="A27" s="1"/>
      <c r="B27" s="3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</row>
    <row r="28" spans="1:16" x14ac:dyDescent="0.3">
      <c r="A28" s="1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</row>
    <row r="29" spans="1:16" x14ac:dyDescent="0.3">
      <c r="A29" s="1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5">
    <mergeCell ref="B2:J2"/>
    <mergeCell ref="D3:J3"/>
    <mergeCell ref="B15:C15"/>
    <mergeCell ref="B16:C16"/>
    <mergeCell ref="C5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D814-D591-4047-8FA1-55EFE7FC8B80}">
  <dimension ref="A1:M29"/>
  <sheetViews>
    <sheetView workbookViewId="0">
      <selection activeCell="J12" sqref="J12"/>
    </sheetView>
  </sheetViews>
  <sheetFormatPr defaultRowHeight="14.4" x14ac:dyDescent="0.3"/>
  <cols>
    <col min="2" max="2" width="34.109375" customWidth="1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/>
      <c r="B2" s="122" t="s">
        <v>22</v>
      </c>
      <c r="C2" s="122"/>
      <c r="D2" s="122"/>
      <c r="E2" s="122"/>
      <c r="F2" s="122"/>
      <c r="G2" s="122"/>
      <c r="H2" s="4"/>
      <c r="I2" s="4"/>
      <c r="J2" s="4"/>
      <c r="K2" s="3"/>
      <c r="L2" s="3"/>
      <c r="M2" s="3"/>
    </row>
    <row r="3" spans="1:13" x14ac:dyDescent="0.3">
      <c r="A3" s="3"/>
      <c r="B3" s="3"/>
      <c r="C3" s="3"/>
      <c r="D3" s="120" t="s">
        <v>12</v>
      </c>
      <c r="E3" s="120"/>
      <c r="F3" s="120"/>
      <c r="G3" s="120"/>
      <c r="H3" s="4"/>
      <c r="I3" s="4"/>
      <c r="J3" s="4"/>
      <c r="K3" s="3"/>
      <c r="L3" s="3"/>
      <c r="M3" s="3"/>
    </row>
    <row r="4" spans="1:13" x14ac:dyDescent="0.3">
      <c r="A4" s="3"/>
      <c r="B4" s="92" t="s">
        <v>13</v>
      </c>
      <c r="C4" s="36" t="s">
        <v>99</v>
      </c>
      <c r="D4" s="36" t="s">
        <v>95</v>
      </c>
      <c r="E4" s="36" t="s">
        <v>14</v>
      </c>
      <c r="F4" s="36" t="s">
        <v>100</v>
      </c>
      <c r="G4" s="88" t="s">
        <v>101</v>
      </c>
      <c r="J4" s="3"/>
      <c r="K4" s="3"/>
      <c r="L4" s="3"/>
      <c r="M4" s="3"/>
    </row>
    <row r="5" spans="1:13" ht="15" customHeight="1" x14ac:dyDescent="0.3">
      <c r="A5" s="3"/>
      <c r="B5" s="87" t="s">
        <v>106</v>
      </c>
      <c r="C5" s="121" t="s">
        <v>15</v>
      </c>
      <c r="D5" s="50" t="s">
        <v>16</v>
      </c>
      <c r="E5" s="50" t="s">
        <v>17</v>
      </c>
      <c r="F5" s="50" t="s">
        <v>16</v>
      </c>
      <c r="G5" s="90" t="s">
        <v>16</v>
      </c>
      <c r="H5" s="9"/>
      <c r="J5" s="18"/>
      <c r="K5" s="3"/>
      <c r="L5" s="4"/>
      <c r="M5" s="4"/>
    </row>
    <row r="6" spans="1:13" x14ac:dyDescent="0.3">
      <c r="A6" s="3"/>
      <c r="B6" s="87" t="s">
        <v>107</v>
      </c>
      <c r="C6" s="121"/>
      <c r="D6" s="35" t="s">
        <v>17</v>
      </c>
      <c r="E6" s="35" t="s">
        <v>17</v>
      </c>
      <c r="F6" s="35" t="s">
        <v>18</v>
      </c>
      <c r="G6" s="91" t="s">
        <v>18</v>
      </c>
      <c r="H6" s="9"/>
      <c r="J6" s="18"/>
      <c r="K6" s="3"/>
      <c r="L6" s="3"/>
      <c r="M6" s="3"/>
    </row>
    <row r="7" spans="1:13" x14ac:dyDescent="0.3">
      <c r="A7" s="3"/>
      <c r="B7" s="87" t="s">
        <v>68</v>
      </c>
      <c r="C7" s="121"/>
      <c r="D7" s="35" t="s">
        <v>16</v>
      </c>
      <c r="E7" s="35" t="s">
        <v>17</v>
      </c>
      <c r="F7" s="35" t="s">
        <v>18</v>
      </c>
      <c r="G7" s="91" t="s">
        <v>17</v>
      </c>
      <c r="H7" s="9"/>
      <c r="J7" s="3"/>
      <c r="K7" s="3"/>
      <c r="L7" s="3"/>
      <c r="M7" s="3"/>
    </row>
    <row r="8" spans="1:13" x14ac:dyDescent="0.3">
      <c r="A8" s="3"/>
      <c r="B8" s="87" t="s">
        <v>131</v>
      </c>
      <c r="C8" s="121"/>
      <c r="D8" s="35" t="s">
        <v>18</v>
      </c>
      <c r="E8" s="35" t="s">
        <v>18</v>
      </c>
      <c r="F8" s="35" t="s">
        <v>17</v>
      </c>
      <c r="G8" s="91" t="s">
        <v>18</v>
      </c>
      <c r="H8" s="9"/>
      <c r="J8" s="18"/>
      <c r="K8" s="3"/>
      <c r="L8" s="3"/>
      <c r="M8" s="3"/>
    </row>
    <row r="9" spans="1:13" x14ac:dyDescent="0.3">
      <c r="A9" s="3"/>
      <c r="B9" s="87" t="s">
        <v>133</v>
      </c>
      <c r="C9" s="121"/>
      <c r="D9" s="50" t="s">
        <v>17</v>
      </c>
      <c r="E9" s="50" t="s">
        <v>17</v>
      </c>
      <c r="F9" s="35" t="s">
        <v>17</v>
      </c>
      <c r="G9" s="90" t="s">
        <v>17</v>
      </c>
      <c r="H9" s="8"/>
      <c r="J9" s="18"/>
      <c r="K9" s="3"/>
      <c r="L9" s="3"/>
      <c r="M9" s="3"/>
    </row>
    <row r="10" spans="1:13" x14ac:dyDescent="0.3">
      <c r="A10" s="3"/>
      <c r="B10" s="87" t="s">
        <v>120</v>
      </c>
      <c r="C10" s="121"/>
      <c r="D10" s="35" t="s">
        <v>16</v>
      </c>
      <c r="E10" s="35" t="s">
        <v>16</v>
      </c>
      <c r="F10" s="35" t="s">
        <v>16</v>
      </c>
      <c r="G10" s="91" t="s">
        <v>16</v>
      </c>
      <c r="H10" s="9"/>
      <c r="J10" s="3"/>
      <c r="K10" s="3"/>
      <c r="L10" s="3"/>
      <c r="M10" s="3"/>
    </row>
    <row r="11" spans="1:13" x14ac:dyDescent="0.3">
      <c r="A11" s="3"/>
      <c r="B11" s="87" t="s">
        <v>76</v>
      </c>
      <c r="C11" s="121"/>
      <c r="D11" s="35" t="s">
        <v>16</v>
      </c>
      <c r="E11" s="35" t="s">
        <v>16</v>
      </c>
      <c r="F11" s="35" t="s">
        <v>17</v>
      </c>
      <c r="G11" s="91" t="s">
        <v>18</v>
      </c>
      <c r="H11" s="9"/>
      <c r="J11" s="3"/>
      <c r="K11" s="3"/>
      <c r="L11" s="3"/>
      <c r="M11" s="3"/>
    </row>
    <row r="12" spans="1:13" x14ac:dyDescent="0.3">
      <c r="A12" s="3"/>
      <c r="B12" s="87" t="s">
        <v>77</v>
      </c>
      <c r="C12" s="121"/>
      <c r="D12" s="35" t="s">
        <v>16</v>
      </c>
      <c r="E12" s="35" t="s">
        <v>16</v>
      </c>
      <c r="F12" s="35" t="s">
        <v>16</v>
      </c>
      <c r="G12" s="91" t="s">
        <v>17</v>
      </c>
      <c r="H12" s="9"/>
      <c r="J12" s="3"/>
      <c r="K12" s="3"/>
      <c r="L12" s="3"/>
      <c r="M12" s="3"/>
    </row>
    <row r="13" spans="1:13" x14ac:dyDescent="0.3">
      <c r="A13" s="3"/>
      <c r="B13" s="87" t="s">
        <v>105</v>
      </c>
      <c r="C13" s="121"/>
      <c r="D13" s="35" t="s">
        <v>17</v>
      </c>
      <c r="E13" s="35" t="s">
        <v>18</v>
      </c>
      <c r="F13" s="35" t="s">
        <v>18</v>
      </c>
      <c r="G13" s="91" t="s">
        <v>17</v>
      </c>
      <c r="H13" s="9"/>
      <c r="J13" s="3"/>
      <c r="K13" s="3"/>
      <c r="L13" s="3"/>
      <c r="M13" s="3"/>
    </row>
    <row r="14" spans="1:13" x14ac:dyDescent="0.3">
      <c r="A14" s="3"/>
      <c r="B14" s="87" t="s">
        <v>85</v>
      </c>
      <c r="C14" s="121"/>
      <c r="D14" s="35" t="s">
        <v>17</v>
      </c>
      <c r="E14" s="35" t="s">
        <v>17</v>
      </c>
      <c r="F14" s="35" t="s">
        <v>17</v>
      </c>
      <c r="G14" s="90" t="s">
        <v>18</v>
      </c>
      <c r="H14" s="9"/>
      <c r="J14" s="18"/>
      <c r="K14" s="3"/>
      <c r="L14" s="3"/>
      <c r="M14" s="3"/>
    </row>
    <row r="15" spans="1:13" x14ac:dyDescent="0.3">
      <c r="A15" s="3"/>
      <c r="B15" s="120" t="s">
        <v>20</v>
      </c>
      <c r="C15" s="120"/>
      <c r="D15" s="93">
        <v>5</v>
      </c>
      <c r="E15" s="93">
        <v>3</v>
      </c>
      <c r="F15" s="93">
        <v>3</v>
      </c>
      <c r="G15" s="93">
        <v>2</v>
      </c>
      <c r="H15" s="8"/>
      <c r="J15" s="18"/>
      <c r="K15" s="3"/>
      <c r="L15" s="3"/>
      <c r="M15" s="3"/>
    </row>
    <row r="16" spans="1:13" x14ac:dyDescent="0.3">
      <c r="A16" s="3"/>
      <c r="B16" s="120" t="s">
        <v>21</v>
      </c>
      <c r="C16" s="120"/>
      <c r="D16" s="93">
        <v>1</v>
      </c>
      <c r="E16" s="93">
        <v>2</v>
      </c>
      <c r="F16" s="93">
        <v>3</v>
      </c>
      <c r="G16" s="93">
        <v>4</v>
      </c>
      <c r="H16" s="8"/>
      <c r="J16" s="3"/>
      <c r="K16" s="3"/>
      <c r="L16" s="3"/>
      <c r="M16" s="3"/>
    </row>
    <row r="17" spans="1:13" x14ac:dyDescent="0.3">
      <c r="A17" s="3"/>
      <c r="C17" s="17"/>
      <c r="D17" s="8"/>
      <c r="E17" s="8"/>
      <c r="F17" s="8"/>
      <c r="G17" s="8"/>
      <c r="H17" s="8"/>
      <c r="J17" s="18"/>
      <c r="K17" s="3"/>
      <c r="L17" s="3"/>
      <c r="M17" s="3"/>
    </row>
    <row r="18" spans="1:13" x14ac:dyDescent="0.3">
      <c r="A18" s="3"/>
      <c r="B18" s="2" t="s">
        <v>92</v>
      </c>
      <c r="H18" s="3"/>
      <c r="J18" s="3"/>
      <c r="K18" s="3"/>
      <c r="L18" s="3"/>
      <c r="M18" s="3"/>
    </row>
    <row r="19" spans="1:13" x14ac:dyDescent="0.3">
      <c r="A19" s="3"/>
      <c r="B19" s="2" t="s">
        <v>87</v>
      </c>
      <c r="H19" s="3"/>
      <c r="J19" s="3"/>
      <c r="K19" s="3"/>
      <c r="L19" s="3"/>
      <c r="M19" s="3"/>
    </row>
    <row r="20" spans="1:13" x14ac:dyDescent="0.3">
      <c r="A20" s="3"/>
      <c r="B20" s="2" t="s">
        <v>91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2" t="s">
        <v>93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2" t="s">
        <v>94</v>
      </c>
      <c r="D22" s="4"/>
      <c r="E22" s="4"/>
      <c r="F22" s="4"/>
      <c r="G22" s="4"/>
      <c r="H22" s="4"/>
      <c r="I22" s="4"/>
      <c r="J22" s="4"/>
      <c r="K22" s="3"/>
      <c r="L22" s="3"/>
      <c r="M22" s="3"/>
    </row>
    <row r="23" spans="1:13" x14ac:dyDescent="0.3">
      <c r="A23" s="3"/>
      <c r="D23" s="4"/>
      <c r="E23" s="4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">
      <c r="A25" s="3"/>
      <c r="D25" s="4"/>
      <c r="E25" s="4"/>
      <c r="F25" s="4"/>
      <c r="G25" s="4"/>
      <c r="H25" s="4"/>
      <c r="I25" s="4"/>
      <c r="J25" s="4"/>
      <c r="K25" s="4"/>
      <c r="L25" s="3"/>
      <c r="M25" s="3"/>
    </row>
    <row r="26" spans="1:13" x14ac:dyDescent="0.3">
      <c r="A26" s="3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A27" s="3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">
      <c r="A28" s="3"/>
      <c r="D28" s="4"/>
      <c r="E28" s="4"/>
      <c r="F28" s="4"/>
      <c r="G28" s="4"/>
      <c r="H28" s="4"/>
      <c r="I28" s="4"/>
      <c r="J28" s="4"/>
      <c r="K28" s="4"/>
      <c r="L28" s="3"/>
      <c r="M28" s="3"/>
    </row>
    <row r="29" spans="1:13" x14ac:dyDescent="0.3">
      <c r="A29" s="3"/>
      <c r="B29" s="4"/>
      <c r="D29" s="4"/>
      <c r="E29" s="4"/>
      <c r="F29" s="4"/>
      <c r="G29" s="3"/>
      <c r="H29" s="3"/>
      <c r="I29" s="3"/>
      <c r="J29" s="3"/>
      <c r="K29" s="3"/>
      <c r="L29" s="3"/>
      <c r="M29" s="3"/>
    </row>
  </sheetData>
  <mergeCells count="5">
    <mergeCell ref="B15:C15"/>
    <mergeCell ref="B16:C16"/>
    <mergeCell ref="D3:G3"/>
    <mergeCell ref="C5:C14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F4B0-0609-4EAF-BAA7-2CD7DB73B74E}">
  <dimension ref="A1:M27"/>
  <sheetViews>
    <sheetView workbookViewId="0">
      <selection activeCell="I13" sqref="I13"/>
    </sheetView>
  </sheetViews>
  <sheetFormatPr defaultRowHeight="14.4" x14ac:dyDescent="0.3"/>
  <cols>
    <col min="2" max="2" width="35.33203125" customWidth="1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/>
      <c r="B2" s="122" t="s">
        <v>23</v>
      </c>
      <c r="C2" s="122"/>
      <c r="D2" s="122"/>
      <c r="E2" s="122"/>
      <c r="F2" s="122"/>
      <c r="G2" s="4"/>
      <c r="H2" s="4"/>
      <c r="I2" s="4"/>
      <c r="J2" s="4"/>
      <c r="K2" s="3"/>
      <c r="L2" s="3"/>
      <c r="M2" s="3"/>
    </row>
    <row r="3" spans="1:13" x14ac:dyDescent="0.3">
      <c r="A3" s="3"/>
      <c r="B3" s="3"/>
      <c r="C3" s="3"/>
      <c r="D3" s="120" t="s">
        <v>12</v>
      </c>
      <c r="E3" s="120"/>
      <c r="F3" s="120"/>
      <c r="G3" s="4"/>
      <c r="H3" s="4"/>
      <c r="I3" s="4"/>
      <c r="J3" s="4"/>
      <c r="K3" s="3"/>
      <c r="L3" s="3"/>
      <c r="M3" s="3"/>
    </row>
    <row r="4" spans="1:13" x14ac:dyDescent="0.3">
      <c r="A4" s="3"/>
      <c r="B4" s="92" t="s">
        <v>13</v>
      </c>
      <c r="C4" s="36" t="s">
        <v>14</v>
      </c>
      <c r="D4" s="36" t="s">
        <v>95</v>
      </c>
      <c r="E4" s="36" t="s">
        <v>99</v>
      </c>
      <c r="F4" s="94" t="s">
        <v>100</v>
      </c>
      <c r="G4" s="3"/>
      <c r="J4" s="3"/>
      <c r="K4" s="3"/>
      <c r="L4" s="3"/>
      <c r="M4" s="3"/>
    </row>
    <row r="5" spans="1:13" ht="15" customHeight="1" x14ac:dyDescent="0.3">
      <c r="A5" s="3"/>
      <c r="B5" s="87" t="s">
        <v>106</v>
      </c>
      <c r="C5" s="121" t="s">
        <v>15</v>
      </c>
      <c r="D5" s="51" t="s">
        <v>16</v>
      </c>
      <c r="E5" s="50" t="s">
        <v>17</v>
      </c>
      <c r="F5" s="95" t="s">
        <v>16</v>
      </c>
      <c r="G5" s="8"/>
      <c r="H5" s="10" t="s">
        <v>24</v>
      </c>
      <c r="J5" s="3"/>
      <c r="K5" s="3"/>
      <c r="L5" s="4"/>
      <c r="M5" s="4"/>
    </row>
    <row r="6" spans="1:13" x14ac:dyDescent="0.3">
      <c r="A6" s="3"/>
      <c r="B6" s="87" t="s">
        <v>107</v>
      </c>
      <c r="C6" s="121"/>
      <c r="D6" s="35" t="s">
        <v>17</v>
      </c>
      <c r="E6" s="35" t="s">
        <v>17</v>
      </c>
      <c r="F6" s="96" t="s">
        <v>17</v>
      </c>
      <c r="G6" s="9"/>
      <c r="H6" s="10" t="s">
        <v>125</v>
      </c>
      <c r="J6" s="3"/>
      <c r="K6" s="3"/>
      <c r="L6" s="3"/>
      <c r="M6" s="3"/>
    </row>
    <row r="7" spans="1:13" x14ac:dyDescent="0.3">
      <c r="A7" s="3"/>
      <c r="B7" s="87" t="s">
        <v>68</v>
      </c>
      <c r="C7" s="121"/>
      <c r="D7" s="36" t="s">
        <v>16</v>
      </c>
      <c r="E7" s="35" t="s">
        <v>17</v>
      </c>
      <c r="F7" s="96" t="s">
        <v>18</v>
      </c>
      <c r="G7" s="9"/>
      <c r="H7" s="10" t="s">
        <v>25</v>
      </c>
      <c r="J7" s="3"/>
      <c r="K7" s="3"/>
      <c r="L7" s="3"/>
      <c r="M7" s="3"/>
    </row>
    <row r="8" spans="1:13" x14ac:dyDescent="0.3">
      <c r="A8" s="3"/>
      <c r="B8" s="87" t="s">
        <v>131</v>
      </c>
      <c r="C8" s="121"/>
      <c r="D8" s="35" t="s">
        <v>17</v>
      </c>
      <c r="E8" s="35" t="s">
        <v>16</v>
      </c>
      <c r="F8" s="96" t="s">
        <v>18</v>
      </c>
      <c r="G8" s="9"/>
      <c r="H8" s="10" t="s">
        <v>124</v>
      </c>
      <c r="J8" s="3"/>
      <c r="K8" s="3"/>
      <c r="L8" s="3"/>
      <c r="M8" s="3"/>
    </row>
    <row r="9" spans="1:13" x14ac:dyDescent="0.3">
      <c r="A9" s="3"/>
      <c r="B9" s="87" t="s">
        <v>133</v>
      </c>
      <c r="C9" s="121"/>
      <c r="D9" s="50" t="s">
        <v>17</v>
      </c>
      <c r="E9" s="50" t="s">
        <v>17</v>
      </c>
      <c r="F9" s="96" t="s">
        <v>17</v>
      </c>
      <c r="G9" s="8"/>
      <c r="H9" s="9"/>
      <c r="J9" s="3"/>
      <c r="K9" s="3"/>
      <c r="L9" s="3"/>
      <c r="M9" s="3"/>
    </row>
    <row r="10" spans="1:13" x14ac:dyDescent="0.3">
      <c r="A10" s="3"/>
      <c r="B10" s="87" t="s">
        <v>120</v>
      </c>
      <c r="C10" s="121"/>
      <c r="D10" s="51" t="s">
        <v>17</v>
      </c>
      <c r="E10" s="50" t="s">
        <v>18</v>
      </c>
      <c r="F10" s="96" t="s">
        <v>18</v>
      </c>
      <c r="G10" s="8"/>
      <c r="H10" s="9"/>
      <c r="J10" s="3"/>
      <c r="K10" s="3"/>
      <c r="L10" s="3"/>
      <c r="M10" s="3"/>
    </row>
    <row r="11" spans="1:13" x14ac:dyDescent="0.3">
      <c r="A11" s="3"/>
      <c r="B11" s="87" t="s">
        <v>76</v>
      </c>
      <c r="C11" s="121"/>
      <c r="D11" s="51" t="s">
        <v>17</v>
      </c>
      <c r="E11" s="50" t="s">
        <v>18</v>
      </c>
      <c r="F11" s="96" t="s">
        <v>17</v>
      </c>
      <c r="G11" s="8"/>
      <c r="H11" s="9"/>
      <c r="J11" s="3"/>
      <c r="K11" s="3"/>
      <c r="L11" s="3"/>
      <c r="M11" s="3"/>
    </row>
    <row r="12" spans="1:13" x14ac:dyDescent="0.3">
      <c r="A12" s="3"/>
      <c r="B12" s="87" t="s">
        <v>77</v>
      </c>
      <c r="C12" s="121"/>
      <c r="D12" s="36" t="s">
        <v>17</v>
      </c>
      <c r="E12" s="35" t="s">
        <v>18</v>
      </c>
      <c r="F12" s="96" t="s">
        <v>17</v>
      </c>
      <c r="G12" s="9"/>
      <c r="H12" s="9"/>
      <c r="J12" s="3"/>
      <c r="K12" s="3"/>
      <c r="L12" s="3"/>
      <c r="M12" s="3"/>
    </row>
    <row r="13" spans="1:13" x14ac:dyDescent="0.3">
      <c r="A13" s="3"/>
      <c r="B13" s="87" t="s">
        <v>105</v>
      </c>
      <c r="C13" s="121"/>
      <c r="D13" s="36" t="s">
        <v>16</v>
      </c>
      <c r="E13" s="35" t="s">
        <v>16</v>
      </c>
      <c r="F13" s="96" t="s">
        <v>18</v>
      </c>
      <c r="G13" s="9"/>
      <c r="H13" s="9"/>
      <c r="J13" s="3"/>
      <c r="K13" s="3"/>
      <c r="L13" s="3"/>
      <c r="M13" s="3"/>
    </row>
    <row r="14" spans="1:13" x14ac:dyDescent="0.3">
      <c r="A14" s="3"/>
      <c r="B14" s="87" t="s">
        <v>85</v>
      </c>
      <c r="C14" s="121"/>
      <c r="D14" s="36" t="s">
        <v>17</v>
      </c>
      <c r="E14" s="35" t="s">
        <v>17</v>
      </c>
      <c r="F14" s="96" t="s">
        <v>18</v>
      </c>
      <c r="G14" s="8"/>
      <c r="H14" s="9"/>
      <c r="J14" s="3"/>
      <c r="K14" s="3"/>
      <c r="L14" s="3"/>
      <c r="M14" s="3"/>
    </row>
    <row r="15" spans="1:13" x14ac:dyDescent="0.3">
      <c r="A15" s="3"/>
      <c r="B15" s="120" t="s">
        <v>20</v>
      </c>
      <c r="C15" s="120"/>
      <c r="D15" s="93">
        <v>3</v>
      </c>
      <c r="E15" s="93">
        <v>2</v>
      </c>
      <c r="F15" s="93">
        <v>1</v>
      </c>
      <c r="G15" s="8"/>
      <c r="H15" s="9"/>
      <c r="J15" s="3"/>
      <c r="K15" s="3"/>
      <c r="L15" s="3"/>
      <c r="M15" s="3"/>
    </row>
    <row r="16" spans="1:13" x14ac:dyDescent="0.3">
      <c r="A16" s="3"/>
      <c r="B16" s="120" t="s">
        <v>21</v>
      </c>
      <c r="C16" s="120"/>
      <c r="D16" s="93">
        <v>0</v>
      </c>
      <c r="E16" s="93">
        <v>3</v>
      </c>
      <c r="F16" s="93">
        <v>5</v>
      </c>
      <c r="G16" s="9"/>
      <c r="H16" s="9"/>
      <c r="J16" s="3"/>
      <c r="K16" s="3"/>
      <c r="L16" s="3"/>
      <c r="M16" s="3"/>
    </row>
    <row r="17" spans="1:13" x14ac:dyDescent="0.3">
      <c r="A17" s="3"/>
      <c r="B17" s="3"/>
      <c r="C17" s="17"/>
      <c r="D17" s="9"/>
      <c r="E17" s="9"/>
      <c r="F17" s="9"/>
      <c r="G17" s="9"/>
      <c r="H17" s="9"/>
      <c r="J17" s="3"/>
      <c r="K17" s="3"/>
      <c r="L17" s="3"/>
      <c r="M17" s="3"/>
    </row>
    <row r="18" spans="1:13" x14ac:dyDescent="0.3">
      <c r="A18" s="3"/>
      <c r="B18" s="2" t="s">
        <v>92</v>
      </c>
      <c r="G18" s="3"/>
      <c r="H18" s="3"/>
      <c r="J18" s="3"/>
      <c r="K18" s="3"/>
      <c r="L18" s="3"/>
      <c r="M18" s="3"/>
    </row>
    <row r="19" spans="1:13" x14ac:dyDescent="0.3">
      <c r="A19" s="3"/>
      <c r="B19" s="2" t="s">
        <v>87</v>
      </c>
      <c r="G19" s="3"/>
      <c r="H19" s="3"/>
      <c r="J19" s="3"/>
      <c r="K19" s="3"/>
      <c r="L19" s="3"/>
      <c r="M19" s="3"/>
    </row>
    <row r="20" spans="1:13" x14ac:dyDescent="0.3">
      <c r="A20" s="3"/>
      <c r="B20" s="2" t="s">
        <v>91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2" t="s">
        <v>93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2"/>
      <c r="C22" s="4"/>
      <c r="D22" s="4"/>
      <c r="E22" s="4"/>
      <c r="F22" s="4"/>
      <c r="G22" s="4"/>
      <c r="H22" s="4"/>
      <c r="I22" s="4"/>
      <c r="J22" s="4"/>
      <c r="K22" s="3"/>
      <c r="L22" s="3"/>
      <c r="M22" s="3"/>
    </row>
    <row r="23" spans="1:13" x14ac:dyDescent="0.3">
      <c r="A23" s="3"/>
      <c r="B23" s="2"/>
      <c r="D23" s="4"/>
      <c r="E23" s="4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2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">
      <c r="A25" s="3"/>
      <c r="B25" s="2"/>
      <c r="D25" s="4"/>
      <c r="E25" s="4"/>
      <c r="F25" s="4"/>
      <c r="G25" s="4"/>
      <c r="H25" s="4"/>
      <c r="I25" s="4"/>
      <c r="J25" s="4"/>
      <c r="K25" s="4"/>
      <c r="L25" s="3"/>
      <c r="M25" s="3"/>
    </row>
    <row r="26" spans="1:13" x14ac:dyDescent="0.3">
      <c r="A26" s="3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A27" s="3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mergeCells count="5">
    <mergeCell ref="B15:C15"/>
    <mergeCell ref="B16:C16"/>
    <mergeCell ref="D3:F3"/>
    <mergeCell ref="C5:C14"/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FED1-C5E4-4BA8-A25F-DEBF475C8DAC}">
  <dimension ref="A1:AD34"/>
  <sheetViews>
    <sheetView zoomScale="90" zoomScaleNormal="90" workbookViewId="0">
      <selection activeCell="E19" sqref="E19"/>
    </sheetView>
  </sheetViews>
  <sheetFormatPr defaultRowHeight="14.4" x14ac:dyDescent="0.3"/>
  <cols>
    <col min="2" max="2" width="37.6640625" bestFit="1" customWidth="1"/>
    <col min="3" max="3" width="22" bestFit="1" customWidth="1"/>
    <col min="4" max="4" width="12.6640625" customWidth="1"/>
    <col min="5" max="5" width="9.33203125" customWidth="1"/>
    <col min="6" max="6" width="17.109375" customWidth="1"/>
    <col min="7" max="7" width="15.109375" customWidth="1"/>
    <col min="8" max="8" width="13.33203125" customWidth="1"/>
    <col min="9" max="9" width="12.33203125" customWidth="1"/>
    <col min="10" max="10" width="8.6640625" bestFit="1" customWidth="1"/>
    <col min="12" max="12" width="13.109375" customWidth="1"/>
    <col min="16" max="16" width="20.109375" bestFit="1" customWidth="1"/>
    <col min="17" max="17" width="37.6640625" bestFit="1" customWidth="1"/>
    <col min="18" max="18" width="18.44140625" bestFit="1" customWidth="1"/>
    <col min="19" max="19" width="14" bestFit="1" customWidth="1"/>
    <col min="20" max="20" width="15.33203125" customWidth="1"/>
    <col min="21" max="22" width="18.109375" customWidth="1"/>
    <col min="23" max="23" width="14.33203125" customWidth="1"/>
    <col min="24" max="27" width="15.109375" customWidth="1"/>
  </cols>
  <sheetData>
    <row r="1" spans="2:30" x14ac:dyDescent="0.3"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Q1" s="124" t="s">
        <v>27</v>
      </c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2:30" ht="59.25" customHeight="1" x14ac:dyDescent="0.3">
      <c r="B2" s="39"/>
      <c r="C2" s="46" t="s">
        <v>106</v>
      </c>
      <c r="D2" s="46" t="s">
        <v>107</v>
      </c>
      <c r="E2" s="46" t="s">
        <v>68</v>
      </c>
      <c r="F2" s="46" t="s">
        <v>131</v>
      </c>
      <c r="G2" s="46" t="s">
        <v>133</v>
      </c>
      <c r="H2" s="46" t="s">
        <v>126</v>
      </c>
      <c r="I2" s="46" t="s">
        <v>76</v>
      </c>
      <c r="J2" s="46" t="s">
        <v>77</v>
      </c>
      <c r="K2" s="46" t="s">
        <v>105</v>
      </c>
      <c r="L2" s="46" t="s">
        <v>127</v>
      </c>
      <c r="M2" s="16"/>
      <c r="Q2" s="39"/>
      <c r="R2" s="46" t="s">
        <v>106</v>
      </c>
      <c r="S2" s="46" t="s">
        <v>107</v>
      </c>
      <c r="T2" s="46" t="s">
        <v>68</v>
      </c>
      <c r="U2" s="46" t="s">
        <v>131</v>
      </c>
      <c r="V2" s="46" t="s">
        <v>133</v>
      </c>
      <c r="W2" s="46" t="s">
        <v>126</v>
      </c>
      <c r="X2" s="46" t="s">
        <v>76</v>
      </c>
      <c r="Y2" s="46" t="s">
        <v>77</v>
      </c>
      <c r="Z2" s="46" t="s">
        <v>105</v>
      </c>
      <c r="AA2" s="46" t="s">
        <v>127</v>
      </c>
      <c r="AB2" s="57" t="s">
        <v>28</v>
      </c>
    </row>
    <row r="3" spans="2:30" x14ac:dyDescent="0.3">
      <c r="B3" s="87" t="s">
        <v>106</v>
      </c>
      <c r="C3" s="99">
        <v>1</v>
      </c>
      <c r="D3" s="100">
        <v>1</v>
      </c>
      <c r="E3" s="100">
        <f>1/7</f>
        <v>0.14285714285714285</v>
      </c>
      <c r="F3" s="100">
        <f t="shared" ref="F3:H4" si="0">1/9</f>
        <v>0.1111111111111111</v>
      </c>
      <c r="G3" s="100">
        <f t="shared" si="0"/>
        <v>0.1111111111111111</v>
      </c>
      <c r="H3" s="100">
        <f t="shared" si="0"/>
        <v>0.1111111111111111</v>
      </c>
      <c r="I3" s="100">
        <f>1/7</f>
        <v>0.14285714285714285</v>
      </c>
      <c r="J3" s="100">
        <f>1/3</f>
        <v>0.33333333333333331</v>
      </c>
      <c r="K3" s="100">
        <f>1/5</f>
        <v>0.2</v>
      </c>
      <c r="L3" s="100">
        <f>1/7</f>
        <v>0.14285714285714285</v>
      </c>
      <c r="M3" s="15"/>
      <c r="Q3" s="87" t="s">
        <v>106</v>
      </c>
      <c r="R3" s="40">
        <f>C3/C$13</f>
        <v>1.7241379310344827E-2</v>
      </c>
      <c r="S3" s="40">
        <f t="shared" ref="R3:W11" si="1">D3/D$13</f>
        <v>1.6666666666666666E-2</v>
      </c>
      <c r="T3" s="40">
        <f t="shared" si="1"/>
        <v>1.0288065843621401E-2</v>
      </c>
      <c r="U3" s="40">
        <f t="shared" si="1"/>
        <v>2.639517345399698E-2</v>
      </c>
      <c r="V3" s="40">
        <f t="shared" si="1"/>
        <v>2.464788732394366E-2</v>
      </c>
      <c r="W3" s="40">
        <f>H3/H$13</f>
        <v>2.5584795321637422E-2</v>
      </c>
      <c r="X3" s="40">
        <f>I3/I$13</f>
        <v>8.9179548156956001E-3</v>
      </c>
      <c r="Y3" s="40">
        <f>J3/J$13</f>
        <v>8.2236842105263153E-3</v>
      </c>
      <c r="Z3" s="40">
        <f>K3/K$13</f>
        <v>5.4945054945054949E-3</v>
      </c>
      <c r="AA3" s="40">
        <f>L3/L$13</f>
        <v>7.0422535211267616E-3</v>
      </c>
      <c r="AB3" s="40">
        <f>AVERAGE(R3:AA3)</f>
        <v>1.5050236596206515E-2</v>
      </c>
      <c r="AD3" s="5"/>
    </row>
    <row r="4" spans="2:30" x14ac:dyDescent="0.3">
      <c r="B4" s="87" t="s">
        <v>107</v>
      </c>
      <c r="C4" s="43">
        <f>(1/D3)</f>
        <v>1</v>
      </c>
      <c r="D4" s="99">
        <v>1</v>
      </c>
      <c r="E4" s="100">
        <f>1/7</f>
        <v>0.14285714285714285</v>
      </c>
      <c r="F4" s="100">
        <f t="shared" si="0"/>
        <v>0.1111111111111111</v>
      </c>
      <c r="G4" s="100">
        <f t="shared" si="0"/>
        <v>0.1111111111111111</v>
      </c>
      <c r="H4" s="100">
        <f t="shared" si="0"/>
        <v>0.1111111111111111</v>
      </c>
      <c r="I4" s="100">
        <f>1/7</f>
        <v>0.14285714285714285</v>
      </c>
      <c r="J4" s="100">
        <f>1/5</f>
        <v>0.2</v>
      </c>
      <c r="K4" s="100">
        <f>1/5</f>
        <v>0.2</v>
      </c>
      <c r="L4" s="100">
        <f>1/7</f>
        <v>0.14285714285714285</v>
      </c>
      <c r="M4" s="15"/>
      <c r="Q4" s="87" t="s">
        <v>107</v>
      </c>
      <c r="R4" s="40">
        <f>C4/C$13</f>
        <v>1.7241379310344827E-2</v>
      </c>
      <c r="S4" s="40">
        <f t="shared" si="1"/>
        <v>1.6666666666666666E-2</v>
      </c>
      <c r="T4" s="40">
        <f t="shared" si="1"/>
        <v>1.0288065843621401E-2</v>
      </c>
      <c r="U4" s="40">
        <f t="shared" si="1"/>
        <v>2.639517345399698E-2</v>
      </c>
      <c r="V4" s="40">
        <f t="shared" si="1"/>
        <v>2.464788732394366E-2</v>
      </c>
      <c r="W4" s="40">
        <f t="shared" si="1"/>
        <v>2.5584795321637422E-2</v>
      </c>
      <c r="X4" s="40">
        <f t="shared" ref="X4:X12" si="2">I4/I$13</f>
        <v>8.9179548156956001E-3</v>
      </c>
      <c r="Y4" s="40">
        <f>J4/J$13</f>
        <v>4.9342105263157901E-3</v>
      </c>
      <c r="Z4" s="40">
        <f t="shared" ref="Z4:AA12" si="3">K4/K$13</f>
        <v>5.4945054945054949E-3</v>
      </c>
      <c r="AA4" s="40">
        <f t="shared" si="3"/>
        <v>7.0422535211267616E-3</v>
      </c>
      <c r="AB4" s="40">
        <f t="shared" ref="AB4:AB12" si="4">AVERAGE(R4:AA4)</f>
        <v>1.4721289227785461E-2</v>
      </c>
    </row>
    <row r="5" spans="2:30" x14ac:dyDescent="0.3">
      <c r="B5" s="87" t="s">
        <v>68</v>
      </c>
      <c r="C5" s="52">
        <f>(1/E3)</f>
        <v>7</v>
      </c>
      <c r="D5" s="40">
        <f>(1/E4)</f>
        <v>7</v>
      </c>
      <c r="E5" s="99">
        <v>1</v>
      </c>
      <c r="F5" s="100">
        <f>1/3</f>
        <v>0.33333333333333331</v>
      </c>
      <c r="G5" s="100">
        <f>1/3</f>
        <v>0.33333333333333331</v>
      </c>
      <c r="H5" s="100">
        <f>1/3</f>
        <v>0.33333333333333331</v>
      </c>
      <c r="I5" s="100">
        <f>1/3</f>
        <v>0.33333333333333331</v>
      </c>
      <c r="J5" s="100">
        <v>5</v>
      </c>
      <c r="K5" s="100">
        <v>5</v>
      </c>
      <c r="L5" s="100">
        <v>5</v>
      </c>
      <c r="M5" s="15"/>
      <c r="Q5" s="87" t="s">
        <v>68</v>
      </c>
      <c r="R5" s="40">
        <f t="shared" si="1"/>
        <v>0.1206896551724138</v>
      </c>
      <c r="S5" s="40">
        <f t="shared" si="1"/>
        <v>0.11666666666666667</v>
      </c>
      <c r="T5" s="40">
        <f t="shared" si="1"/>
        <v>7.2016460905349813E-2</v>
      </c>
      <c r="U5" s="40">
        <f t="shared" si="1"/>
        <v>7.9185520361990946E-2</v>
      </c>
      <c r="V5" s="40">
        <f t="shared" si="1"/>
        <v>7.3943661971830985E-2</v>
      </c>
      <c r="W5" s="40">
        <f t="shared" si="1"/>
        <v>7.675438596491227E-2</v>
      </c>
      <c r="X5" s="40">
        <f t="shared" si="2"/>
        <v>2.0808561236623068E-2</v>
      </c>
      <c r="Y5" s="40">
        <f t="shared" ref="Y5:Y12" si="5">J5/J$13</f>
        <v>0.12335526315789475</v>
      </c>
      <c r="Z5" s="40">
        <f t="shared" si="3"/>
        <v>0.13736263736263737</v>
      </c>
      <c r="AA5" s="40">
        <f t="shared" si="3"/>
        <v>0.24647887323943668</v>
      </c>
      <c r="AB5" s="40">
        <f t="shared" si="4"/>
        <v>0.10672616860397563</v>
      </c>
    </row>
    <row r="6" spans="2:30" x14ac:dyDescent="0.3">
      <c r="B6" s="87" t="s">
        <v>131</v>
      </c>
      <c r="C6" s="52">
        <f>(1/F3)</f>
        <v>9</v>
      </c>
      <c r="D6" s="53">
        <f>(1/F4)</f>
        <v>9</v>
      </c>
      <c r="E6" s="40">
        <f>(1/F5)</f>
        <v>3</v>
      </c>
      <c r="F6" s="99">
        <v>1</v>
      </c>
      <c r="G6" s="100">
        <v>1</v>
      </c>
      <c r="H6" s="100">
        <v>1</v>
      </c>
      <c r="I6" s="100">
        <v>5</v>
      </c>
      <c r="J6" s="100">
        <v>9</v>
      </c>
      <c r="K6" s="100">
        <v>7</v>
      </c>
      <c r="L6" s="100">
        <v>5</v>
      </c>
      <c r="M6" s="15"/>
      <c r="Q6" s="87" t="s">
        <v>131</v>
      </c>
      <c r="R6" s="40">
        <f t="shared" si="1"/>
        <v>0.15517241379310345</v>
      </c>
      <c r="S6" s="40">
        <f t="shared" si="1"/>
        <v>0.15</v>
      </c>
      <c r="T6" s="40">
        <f t="shared" si="1"/>
        <v>0.21604938271604943</v>
      </c>
      <c r="U6" s="40">
        <f t="shared" si="1"/>
        <v>0.23755656108597284</v>
      </c>
      <c r="V6" s="40">
        <f t="shared" si="1"/>
        <v>0.22183098591549297</v>
      </c>
      <c r="W6" s="40">
        <f t="shared" si="1"/>
        <v>0.23026315789473681</v>
      </c>
      <c r="X6" s="40">
        <f t="shared" si="2"/>
        <v>0.31212841854934603</v>
      </c>
      <c r="Y6" s="40">
        <f t="shared" si="5"/>
        <v>0.22203947368421054</v>
      </c>
      <c r="Z6" s="40">
        <f t="shared" si="3"/>
        <v>0.19230769230769232</v>
      </c>
      <c r="AA6" s="40">
        <f t="shared" si="3"/>
        <v>0.24647887323943668</v>
      </c>
      <c r="AB6" s="40">
        <f t="shared" si="4"/>
        <v>0.2183826959186041</v>
      </c>
    </row>
    <row r="7" spans="2:30" x14ac:dyDescent="0.3">
      <c r="B7" s="87" t="s">
        <v>133</v>
      </c>
      <c r="C7" s="52">
        <f>(1/G3)</f>
        <v>9</v>
      </c>
      <c r="D7" s="40">
        <f>(1/G4)</f>
        <v>9</v>
      </c>
      <c r="E7" s="40">
        <f>(1/G5)</f>
        <v>3</v>
      </c>
      <c r="F7" s="40">
        <f>(1/G6)</f>
        <v>1</v>
      </c>
      <c r="G7" s="99">
        <v>1</v>
      </c>
      <c r="H7" s="100">
        <v>1</v>
      </c>
      <c r="I7" s="100">
        <v>3</v>
      </c>
      <c r="J7" s="100">
        <v>7</v>
      </c>
      <c r="K7" s="100">
        <v>7</v>
      </c>
      <c r="L7" s="100">
        <v>3</v>
      </c>
      <c r="M7" s="15"/>
      <c r="Q7" s="87" t="s">
        <v>133</v>
      </c>
      <c r="R7" s="40">
        <f t="shared" si="1"/>
        <v>0.15517241379310345</v>
      </c>
      <c r="S7" s="40">
        <f t="shared" si="1"/>
        <v>0.15</v>
      </c>
      <c r="T7" s="40">
        <f t="shared" si="1"/>
        <v>0.21604938271604943</v>
      </c>
      <c r="U7" s="40">
        <f t="shared" si="1"/>
        <v>0.23755656108597284</v>
      </c>
      <c r="V7" s="40">
        <f t="shared" si="1"/>
        <v>0.22183098591549297</v>
      </c>
      <c r="W7" s="40">
        <f t="shared" si="1"/>
        <v>0.23026315789473681</v>
      </c>
      <c r="X7" s="40">
        <f t="shared" si="2"/>
        <v>0.1872770511296076</v>
      </c>
      <c r="Y7" s="40">
        <f t="shared" si="5"/>
        <v>0.17269736842105263</v>
      </c>
      <c r="Z7" s="40">
        <f t="shared" si="3"/>
        <v>0.19230769230769232</v>
      </c>
      <c r="AA7" s="40">
        <f t="shared" si="3"/>
        <v>0.147887323943662</v>
      </c>
      <c r="AB7" s="40">
        <f t="shared" si="4"/>
        <v>0.191104193720737</v>
      </c>
    </row>
    <row r="8" spans="2:30" x14ac:dyDescent="0.3">
      <c r="B8" s="87" t="s">
        <v>120</v>
      </c>
      <c r="C8" s="52">
        <f>(1/H3)</f>
        <v>9</v>
      </c>
      <c r="D8" s="54">
        <f>(1/H4)</f>
        <v>9</v>
      </c>
      <c r="E8" s="40">
        <f>(1/H5)</f>
        <v>3</v>
      </c>
      <c r="F8" s="40">
        <f>(1/H6)</f>
        <v>1</v>
      </c>
      <c r="G8" s="40">
        <f>(1/H7)</f>
        <v>1</v>
      </c>
      <c r="H8" s="99">
        <v>1</v>
      </c>
      <c r="I8" s="100">
        <v>3</v>
      </c>
      <c r="J8" s="100">
        <v>9</v>
      </c>
      <c r="K8" s="100">
        <v>7</v>
      </c>
      <c r="L8" s="100">
        <v>5</v>
      </c>
      <c r="M8" s="15"/>
      <c r="Q8" s="87" t="s">
        <v>120</v>
      </c>
      <c r="R8" s="40">
        <f>C8/C$13</f>
        <v>0.15517241379310345</v>
      </c>
      <c r="S8" s="40">
        <f>D8/D$13</f>
        <v>0.15</v>
      </c>
      <c r="T8" s="40">
        <f>E8/E$13</f>
        <v>0.21604938271604943</v>
      </c>
      <c r="U8" s="40">
        <f t="shared" si="1"/>
        <v>0.23755656108597284</v>
      </c>
      <c r="V8" s="40">
        <f t="shared" si="1"/>
        <v>0.22183098591549297</v>
      </c>
      <c r="W8" s="40">
        <f t="shared" si="1"/>
        <v>0.23026315789473681</v>
      </c>
      <c r="X8" s="40">
        <f t="shared" si="2"/>
        <v>0.1872770511296076</v>
      </c>
      <c r="Y8" s="40">
        <f t="shared" si="5"/>
        <v>0.22203947368421054</v>
      </c>
      <c r="Z8" s="40">
        <f t="shared" si="3"/>
        <v>0.19230769230769232</v>
      </c>
      <c r="AA8" s="40">
        <f t="shared" si="3"/>
        <v>0.24647887323943668</v>
      </c>
      <c r="AB8" s="40">
        <f t="shared" si="4"/>
        <v>0.20589755917663025</v>
      </c>
    </row>
    <row r="9" spans="2:30" x14ac:dyDescent="0.3">
      <c r="B9" s="87" t="s">
        <v>76</v>
      </c>
      <c r="C9" s="52">
        <f>(1/I3)</f>
        <v>7</v>
      </c>
      <c r="D9" s="52">
        <f>(1/I4)</f>
        <v>7</v>
      </c>
      <c r="E9" s="40">
        <f>(1/I5)</f>
        <v>3</v>
      </c>
      <c r="F9" s="40">
        <f>(1/I6)</f>
        <v>0.2</v>
      </c>
      <c r="G9" s="40">
        <f>(1/I7)</f>
        <v>0.33333333333333331</v>
      </c>
      <c r="H9" s="40">
        <f>(1/I8)</f>
        <v>0.33333333333333331</v>
      </c>
      <c r="I9" s="99">
        <v>1</v>
      </c>
      <c r="J9" s="100">
        <v>5</v>
      </c>
      <c r="K9" s="100">
        <v>5</v>
      </c>
      <c r="L9" s="100">
        <f>1/3</f>
        <v>0.33333333333333331</v>
      </c>
      <c r="M9" s="15"/>
      <c r="Q9" s="87" t="s">
        <v>76</v>
      </c>
      <c r="R9" s="40">
        <f t="shared" ref="R9:S11" si="6">C9/C$13</f>
        <v>0.1206896551724138</v>
      </c>
      <c r="S9" s="40">
        <f t="shared" si="6"/>
        <v>0.11666666666666667</v>
      </c>
      <c r="T9" s="40">
        <f t="shared" si="1"/>
        <v>0.21604938271604943</v>
      </c>
      <c r="U9" s="40">
        <f t="shared" si="1"/>
        <v>4.7511312217194568E-2</v>
      </c>
      <c r="V9" s="40">
        <f t="shared" si="1"/>
        <v>7.3943661971830985E-2</v>
      </c>
      <c r="W9" s="40">
        <f t="shared" si="1"/>
        <v>7.675438596491227E-2</v>
      </c>
      <c r="X9" s="40">
        <f t="shared" si="2"/>
        <v>6.2425683709869201E-2</v>
      </c>
      <c r="Y9" s="40">
        <f t="shared" si="5"/>
        <v>0.12335526315789475</v>
      </c>
      <c r="Z9" s="40">
        <f t="shared" si="3"/>
        <v>0.13736263736263737</v>
      </c>
      <c r="AA9" s="40">
        <f t="shared" si="3"/>
        <v>1.6431924882629109E-2</v>
      </c>
      <c r="AB9" s="40">
        <f t="shared" si="4"/>
        <v>9.9119057382209816E-2</v>
      </c>
    </row>
    <row r="10" spans="2:30" x14ac:dyDescent="0.3">
      <c r="B10" s="87" t="s">
        <v>77</v>
      </c>
      <c r="C10" s="52">
        <f>(1/J3)</f>
        <v>3</v>
      </c>
      <c r="D10" s="54">
        <f>(1/J4)</f>
        <v>5</v>
      </c>
      <c r="E10" s="40">
        <f>(1/J5)</f>
        <v>0.2</v>
      </c>
      <c r="F10" s="40">
        <f>(1/J6)</f>
        <v>0.1111111111111111</v>
      </c>
      <c r="G10" s="40">
        <f>(1/J7)</f>
        <v>0.14285714285714285</v>
      </c>
      <c r="H10" s="40">
        <f>(1/J8)</f>
        <v>0.1111111111111111</v>
      </c>
      <c r="I10" s="40">
        <f>(1/J9)</f>
        <v>0.2</v>
      </c>
      <c r="J10" s="99">
        <v>1</v>
      </c>
      <c r="K10" s="100">
        <v>1</v>
      </c>
      <c r="L10" s="100">
        <f>1/3</f>
        <v>0.33333333333333331</v>
      </c>
      <c r="M10" s="15"/>
      <c r="Q10" s="87" t="s">
        <v>77</v>
      </c>
      <c r="R10" s="40">
        <f t="shared" si="6"/>
        <v>5.1724137931034482E-2</v>
      </c>
      <c r="S10" s="40">
        <f t="shared" si="6"/>
        <v>8.3333333333333329E-2</v>
      </c>
      <c r="T10" s="40">
        <f t="shared" si="1"/>
        <v>1.4403292181069963E-2</v>
      </c>
      <c r="U10" s="40">
        <f t="shared" si="1"/>
        <v>2.639517345399698E-2</v>
      </c>
      <c r="V10" s="40">
        <f t="shared" si="1"/>
        <v>3.1690140845070422E-2</v>
      </c>
      <c r="W10" s="40">
        <f t="shared" si="1"/>
        <v>2.5584795321637422E-2</v>
      </c>
      <c r="X10" s="40">
        <f t="shared" si="2"/>
        <v>1.2485136741973841E-2</v>
      </c>
      <c r="Y10" s="40">
        <f t="shared" si="5"/>
        <v>2.4671052631578948E-2</v>
      </c>
      <c r="Z10" s="40">
        <f t="shared" si="3"/>
        <v>2.7472527472527472E-2</v>
      </c>
      <c r="AA10" s="40">
        <f t="shared" si="3"/>
        <v>1.6431924882629109E-2</v>
      </c>
      <c r="AB10" s="40">
        <f>AVERAGE(R10:AA10)</f>
        <v>3.1419151479485201E-2</v>
      </c>
    </row>
    <row r="11" spans="2:30" x14ac:dyDescent="0.3">
      <c r="B11" s="87" t="s">
        <v>105</v>
      </c>
      <c r="C11" s="52">
        <f>(1/K3)</f>
        <v>5</v>
      </c>
      <c r="D11" s="54">
        <f>(1/K4)</f>
        <v>5</v>
      </c>
      <c r="E11" s="40">
        <f>(1/J5)</f>
        <v>0.2</v>
      </c>
      <c r="F11" s="40">
        <f>(1/K6)</f>
        <v>0.14285714285714285</v>
      </c>
      <c r="G11" s="40">
        <f>(1/K7)</f>
        <v>0.14285714285714285</v>
      </c>
      <c r="H11" s="40">
        <f>(1/K8)</f>
        <v>0.14285714285714285</v>
      </c>
      <c r="I11" s="40">
        <f>(1/K9)</f>
        <v>0.2</v>
      </c>
      <c r="J11" s="40">
        <f>(1/K10)</f>
        <v>1</v>
      </c>
      <c r="K11" s="99">
        <v>1</v>
      </c>
      <c r="L11" s="100">
        <f>1/3</f>
        <v>0.33333333333333331</v>
      </c>
      <c r="M11" s="15"/>
      <c r="Q11" s="87" t="s">
        <v>105</v>
      </c>
      <c r="R11" s="40">
        <f t="shared" si="6"/>
        <v>8.6206896551724144E-2</v>
      </c>
      <c r="S11" s="40">
        <f t="shared" si="6"/>
        <v>8.3333333333333329E-2</v>
      </c>
      <c r="T11" s="40">
        <f t="shared" si="1"/>
        <v>1.4403292181069963E-2</v>
      </c>
      <c r="U11" s="40">
        <f t="shared" si="1"/>
        <v>3.3936651583710405E-2</v>
      </c>
      <c r="V11" s="40">
        <f t="shared" si="1"/>
        <v>3.1690140845070422E-2</v>
      </c>
      <c r="W11" s="40">
        <f t="shared" si="1"/>
        <v>3.2894736842105254E-2</v>
      </c>
      <c r="X11" s="40">
        <f t="shared" si="2"/>
        <v>1.2485136741973841E-2</v>
      </c>
      <c r="Y11" s="40">
        <f t="shared" si="5"/>
        <v>2.4671052631578948E-2</v>
      </c>
      <c r="Z11" s="40">
        <f t="shared" si="3"/>
        <v>2.7472527472527472E-2</v>
      </c>
      <c r="AA11" s="40">
        <f t="shared" si="3"/>
        <v>1.6431924882629109E-2</v>
      </c>
      <c r="AB11" s="40">
        <f t="shared" si="4"/>
        <v>3.6352569306572283E-2</v>
      </c>
    </row>
    <row r="12" spans="2:30" x14ac:dyDescent="0.3">
      <c r="B12" s="87" t="s">
        <v>85</v>
      </c>
      <c r="C12" s="52">
        <f>(1/L3)</f>
        <v>7</v>
      </c>
      <c r="D12" s="40">
        <f>(1/L4)</f>
        <v>7</v>
      </c>
      <c r="E12" s="40">
        <f>(1/L5)</f>
        <v>0.2</v>
      </c>
      <c r="F12" s="40">
        <f>(1/L6)</f>
        <v>0.2</v>
      </c>
      <c r="G12" s="40">
        <f>(1/L7)</f>
        <v>0.33333333333333331</v>
      </c>
      <c r="H12" s="40">
        <f>(1/L8)</f>
        <v>0.2</v>
      </c>
      <c r="I12" s="40">
        <f>(1/L9)</f>
        <v>3</v>
      </c>
      <c r="J12" s="40">
        <f>(1/L10)</f>
        <v>3</v>
      </c>
      <c r="K12" s="40">
        <f>(1/L11)</f>
        <v>3</v>
      </c>
      <c r="L12" s="99">
        <v>1</v>
      </c>
      <c r="M12" s="15"/>
      <c r="Q12" s="87" t="s">
        <v>85</v>
      </c>
      <c r="R12" s="40">
        <f t="shared" ref="R12:W12" si="7">C12/C$13</f>
        <v>0.1206896551724138</v>
      </c>
      <c r="S12" s="40">
        <f>D12/D$13</f>
        <v>0.11666666666666667</v>
      </c>
      <c r="T12" s="40">
        <f t="shared" si="7"/>
        <v>1.4403292181069963E-2</v>
      </c>
      <c r="U12" s="40">
        <f t="shared" si="7"/>
        <v>4.7511312217194568E-2</v>
      </c>
      <c r="V12" s="40">
        <f t="shared" si="7"/>
        <v>7.3943661971830985E-2</v>
      </c>
      <c r="W12" s="40">
        <f t="shared" si="7"/>
        <v>4.6052631578947366E-2</v>
      </c>
      <c r="X12" s="40">
        <f t="shared" si="2"/>
        <v>0.1872770511296076</v>
      </c>
      <c r="Y12" s="40">
        <f t="shared" si="5"/>
        <v>7.401315789473685E-2</v>
      </c>
      <c r="Z12" s="40">
        <f t="shared" si="3"/>
        <v>8.2417582417582416E-2</v>
      </c>
      <c r="AA12" s="40">
        <f t="shared" si="3"/>
        <v>4.9295774647887335E-2</v>
      </c>
      <c r="AB12" s="40">
        <f t="shared" si="4"/>
        <v>8.1227078587793752E-2</v>
      </c>
    </row>
    <row r="13" spans="2:30" x14ac:dyDescent="0.3">
      <c r="B13" s="97" t="s">
        <v>29</v>
      </c>
      <c r="C13" s="98">
        <f>SUM(C3:C12)</f>
        <v>58</v>
      </c>
      <c r="D13" s="98">
        <f>SUM(D3:D12)</f>
        <v>60</v>
      </c>
      <c r="E13" s="98">
        <f t="shared" ref="E13:L13" si="8">SUM(E3:E12)</f>
        <v>13.885714285714283</v>
      </c>
      <c r="F13" s="98">
        <f t="shared" si="8"/>
        <v>4.2095238095238097</v>
      </c>
      <c r="G13" s="98">
        <f t="shared" si="8"/>
        <v>4.5079365079365079</v>
      </c>
      <c r="H13" s="98">
        <f>SUM(H3:H12)</f>
        <v>4.3428571428571434</v>
      </c>
      <c r="I13" s="98">
        <f>SUM(I3:I12)</f>
        <v>16.019047619047619</v>
      </c>
      <c r="J13" s="98">
        <f t="shared" ref="J13:K13" si="9">SUM(J3:J12)</f>
        <v>40.533333333333331</v>
      </c>
      <c r="K13" s="98">
        <f t="shared" si="9"/>
        <v>36.4</v>
      </c>
      <c r="L13" s="98">
        <f t="shared" si="8"/>
        <v>20.285714285714281</v>
      </c>
      <c r="M13" s="15"/>
      <c r="Q13" s="97" t="s">
        <v>29</v>
      </c>
      <c r="R13" s="98">
        <f>SUM(R3:R12)</f>
        <v>1</v>
      </c>
      <c r="S13" s="98">
        <f t="shared" ref="S13:Z13" si="10">SUM(S3:S12)</f>
        <v>1</v>
      </c>
      <c r="T13" s="98">
        <f t="shared" si="10"/>
        <v>1.0000000000000002</v>
      </c>
      <c r="U13" s="98">
        <f t="shared" si="10"/>
        <v>1</v>
      </c>
      <c r="V13" s="98">
        <f t="shared" si="10"/>
        <v>1</v>
      </c>
      <c r="W13" s="98">
        <f>SUM(W3:W12)</f>
        <v>0.99999999999999978</v>
      </c>
      <c r="X13" s="98">
        <f t="shared" si="10"/>
        <v>0.99999999999999989</v>
      </c>
      <c r="Y13" s="98">
        <f t="shared" si="10"/>
        <v>1.0000000000000002</v>
      </c>
      <c r="Z13" s="98">
        <f t="shared" si="10"/>
        <v>1</v>
      </c>
      <c r="AA13" s="98">
        <f>SUM(AA3:AA12)</f>
        <v>1.0000000000000002</v>
      </c>
      <c r="AB13" s="98">
        <f>SUM(AB3:AB12)</f>
        <v>1</v>
      </c>
    </row>
    <row r="14" spans="2:30" x14ac:dyDescent="0.3">
      <c r="M14" s="15"/>
      <c r="P14" s="5"/>
      <c r="AB14" s="37"/>
    </row>
    <row r="15" spans="2:30" x14ac:dyDescent="0.3">
      <c r="D15" s="5"/>
      <c r="L15" s="5"/>
      <c r="AC15" s="5"/>
    </row>
    <row r="16" spans="2:30" x14ac:dyDescent="0.3">
      <c r="AC16" s="5"/>
    </row>
    <row r="17" spans="1:29" x14ac:dyDescent="0.3">
      <c r="C17" t="s">
        <v>30</v>
      </c>
      <c r="D17" s="5"/>
      <c r="G17" s="3"/>
      <c r="AC17" s="5"/>
    </row>
    <row r="18" spans="1:29" x14ac:dyDescent="0.3">
      <c r="G18" s="3"/>
      <c r="AC18" s="5"/>
    </row>
    <row r="19" spans="1:29" x14ac:dyDescent="0.3">
      <c r="G19" s="3"/>
      <c r="S19" s="5"/>
      <c r="AC19" s="5"/>
    </row>
    <row r="20" spans="1:29" x14ac:dyDescent="0.3">
      <c r="G20" s="3"/>
      <c r="AC20" s="5"/>
    </row>
    <row r="21" spans="1:29" ht="21" x14ac:dyDescent="0.4">
      <c r="B21" s="6" t="s">
        <v>31</v>
      </c>
      <c r="G21" s="3"/>
      <c r="P21" s="125" t="s">
        <v>32</v>
      </c>
      <c r="Q21" s="125"/>
      <c r="R21" s="125"/>
      <c r="AC21" s="5"/>
    </row>
    <row r="22" spans="1:29" x14ac:dyDescent="0.3">
      <c r="A22" s="55" t="s">
        <v>33</v>
      </c>
      <c r="B22" s="41">
        <v>10</v>
      </c>
      <c r="G22" s="3"/>
      <c r="P22" s="45" t="s">
        <v>34</v>
      </c>
      <c r="Q22" s="45" t="s">
        <v>35</v>
      </c>
      <c r="R22" s="45" t="s">
        <v>36</v>
      </c>
    </row>
    <row r="23" spans="1:29" x14ac:dyDescent="0.3">
      <c r="A23" s="55" t="s">
        <v>37</v>
      </c>
      <c r="B23" s="41">
        <v>1.49</v>
      </c>
      <c r="G23" s="3"/>
      <c r="P23" s="45" t="s">
        <v>38</v>
      </c>
      <c r="Q23" s="45" t="s">
        <v>39</v>
      </c>
      <c r="R23" s="45" t="s">
        <v>40</v>
      </c>
    </row>
    <row r="24" spans="1:29" x14ac:dyDescent="0.3">
      <c r="A24" s="55" t="s">
        <v>41</v>
      </c>
      <c r="B24" s="42">
        <f>(R34-B22)/(B22-1)</f>
        <v>0.14333909106955606</v>
      </c>
      <c r="G24" s="3"/>
      <c r="P24" s="40" cm="1">
        <f t="array" ref="P24:P33">MMULT(Ctest,Wtest)</f>
        <v>0.1569014692717636</v>
      </c>
      <c r="Q24" s="40">
        <f t="shared" ref="Q24:Q29" si="11">AVERAGE(R3:AB3)</f>
        <v>1.5050236596206516E-2</v>
      </c>
      <c r="R24" s="40">
        <f>P24 / Q24</f>
        <v>10.425182904520675</v>
      </c>
    </row>
    <row r="25" spans="1:29" x14ac:dyDescent="0.3">
      <c r="A25" s="55" t="s">
        <v>42</v>
      </c>
      <c r="B25" s="56">
        <f>(B24/B23)</f>
        <v>9.6200732261447014E-2</v>
      </c>
      <c r="P25" s="40">
        <v>0.1527122490744989</v>
      </c>
      <c r="Q25" s="40">
        <f t="shared" si="11"/>
        <v>1.4721289227785461E-2</v>
      </c>
      <c r="R25" s="40">
        <f t="shared" ref="R25:R30" si="12">P25 / Q25</f>
        <v>10.373564890380974</v>
      </c>
    </row>
    <row r="26" spans="1:29" x14ac:dyDescent="0.3">
      <c r="P26" s="40">
        <v>1.2982886816405694</v>
      </c>
      <c r="Q26" s="40">
        <f t="shared" si="11"/>
        <v>0.10672616860397563</v>
      </c>
      <c r="R26" s="40">
        <f t="shared" si="12"/>
        <v>12.164670564143227</v>
      </c>
    </row>
    <row r="27" spans="1:29" x14ac:dyDescent="0.3">
      <c r="P27" s="40">
        <v>2.6424777153552168</v>
      </c>
      <c r="Q27" s="40">
        <f t="shared" si="11"/>
        <v>0.21838269591860412</v>
      </c>
      <c r="R27" s="40">
        <f t="shared" si="12"/>
        <v>12.10021565234328</v>
      </c>
    </row>
    <row r="28" spans="1:29" x14ac:dyDescent="0.3">
      <c r="P28" s="40">
        <v>2.2189471404562391</v>
      </c>
      <c r="Q28" s="40">
        <f t="shared" si="11"/>
        <v>0.19110419372073698</v>
      </c>
      <c r="R28" s="40">
        <f t="shared" si="12"/>
        <v>11.611190195537075</v>
      </c>
    </row>
    <row r="29" spans="1:29" x14ac:dyDescent="0.3">
      <c r="P29" s="40">
        <v>2.4442396005907971</v>
      </c>
      <c r="Q29" s="40">
        <f t="shared" si="11"/>
        <v>0.20589755917663022</v>
      </c>
      <c r="R29" s="40">
        <f t="shared" si="12"/>
        <v>11.871144128007824</v>
      </c>
    </row>
    <row r="30" spans="1:29" x14ac:dyDescent="0.3">
      <c r="P30" s="40">
        <v>1.1696429975711424</v>
      </c>
      <c r="Q30" s="40">
        <f t="shared" ref="Q30:Q33" si="13">AVERAGE(R9:AB9)</f>
        <v>9.9119057382209816E-2</v>
      </c>
      <c r="R30" s="40">
        <f t="shared" si="12"/>
        <v>11.800384592651236</v>
      </c>
    </row>
    <row r="31" spans="1:29" x14ac:dyDescent="0.3">
      <c r="P31" s="40">
        <v>0.32921646444253894</v>
      </c>
      <c r="Q31" s="40">
        <f t="shared" si="13"/>
        <v>3.1419151479485201E-2</v>
      </c>
      <c r="R31" s="40">
        <f>P31 / Q31</f>
        <v>10.478209911476995</v>
      </c>
    </row>
    <row r="32" spans="1:29" x14ac:dyDescent="0.3">
      <c r="P32" s="40">
        <v>0.37278615208241972</v>
      </c>
      <c r="Q32" s="40">
        <f t="shared" si="13"/>
        <v>3.6352569306572283E-2</v>
      </c>
      <c r="R32" s="40">
        <f>P32 / Q32</f>
        <v>10.254740151613511</v>
      </c>
    </row>
    <row r="33" spans="16:18" x14ac:dyDescent="0.3">
      <c r="P33" s="40">
        <v>0.96020277650729369</v>
      </c>
      <c r="Q33" s="40">
        <f t="shared" si="13"/>
        <v>8.1227078587793752E-2</v>
      </c>
      <c r="R33" s="40">
        <f>P33 / Q33</f>
        <v>11.821215205585228</v>
      </c>
    </row>
    <row r="34" spans="16:18" x14ac:dyDescent="0.3">
      <c r="Q34" s="55" t="s">
        <v>43</v>
      </c>
      <c r="R34" s="43">
        <f>AVERAGE(R24:R33)</f>
        <v>11.290051819626004</v>
      </c>
    </row>
  </sheetData>
  <mergeCells count="3">
    <mergeCell ref="B1:L1"/>
    <mergeCell ref="Q1:AB1"/>
    <mergeCell ref="P21:R21"/>
  </mergeCells>
  <pageMargins left="0.7" right="0.7" top="0.75" bottom="0.75" header="0.3" footer="0.3"/>
  <ignoredErrors>
    <ignoredError sqref="J3:J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48F9-72B3-4CCB-AD53-C17A79D615B3}">
  <dimension ref="A1:BH33"/>
  <sheetViews>
    <sheetView topLeftCell="A3" workbookViewId="0">
      <selection activeCell="E5" sqref="E5"/>
    </sheetView>
  </sheetViews>
  <sheetFormatPr defaultRowHeight="14.4" x14ac:dyDescent="0.3"/>
  <cols>
    <col min="2" max="2" width="13.6640625" customWidth="1"/>
    <col min="3" max="3" width="11.44140625" bestFit="1" customWidth="1"/>
    <col min="4" max="4" width="14.88671875" customWidth="1"/>
    <col min="6" max="6" width="12.5546875" customWidth="1"/>
    <col min="8" max="8" width="13.44140625" customWidth="1"/>
    <col min="10" max="10" width="14.6640625" customWidth="1"/>
    <col min="12" max="12" width="12.5546875" customWidth="1"/>
    <col min="14" max="14" width="13.5546875" customWidth="1"/>
    <col min="16" max="16" width="14.5546875" customWidth="1"/>
    <col min="18" max="18" width="11.6640625" customWidth="1"/>
    <col min="20" max="20" width="14.6640625" customWidth="1"/>
    <col min="22" max="22" width="16" customWidth="1"/>
    <col min="24" max="24" width="12.109375" customWidth="1"/>
    <col min="26" max="26" width="13.88671875" customWidth="1"/>
    <col min="28" max="28" width="15" customWidth="1"/>
    <col min="30" max="30" width="13.88671875" customWidth="1"/>
    <col min="32" max="32" width="13.109375" customWidth="1"/>
    <col min="34" max="34" width="17" customWidth="1"/>
    <col min="36" max="36" width="13.109375" customWidth="1"/>
    <col min="38" max="38" width="14.33203125" customWidth="1"/>
    <col min="40" max="40" width="15.44140625" customWidth="1"/>
    <col min="42" max="42" width="12.5546875" customWidth="1"/>
    <col min="44" max="44" width="13.6640625" customWidth="1"/>
    <col min="46" max="46" width="14.6640625" customWidth="1"/>
    <col min="50" max="50" width="13.33203125" customWidth="1"/>
    <col min="52" max="52" width="14.6640625" customWidth="1"/>
    <col min="56" max="56" width="13.33203125" customWidth="1"/>
    <col min="58" max="58" width="13.88671875" customWidth="1"/>
  </cols>
  <sheetData>
    <row r="1" spans="1:60" x14ac:dyDescent="0.3">
      <c r="A1" s="2" t="s">
        <v>92</v>
      </c>
    </row>
    <row r="2" spans="1:60" x14ac:dyDescent="0.3">
      <c r="A2" s="2" t="s">
        <v>87</v>
      </c>
    </row>
    <row r="3" spans="1:60" x14ac:dyDescent="0.3">
      <c r="A3" s="2" t="s">
        <v>91</v>
      </c>
    </row>
    <row r="5" spans="1:60" x14ac:dyDescent="0.3">
      <c r="A5" t="s">
        <v>30</v>
      </c>
    </row>
    <row r="7" spans="1:60" x14ac:dyDescent="0.3">
      <c r="A7" s="10">
        <v>1</v>
      </c>
      <c r="B7" s="10" t="s">
        <v>106</v>
      </c>
      <c r="G7" s="10">
        <v>2</v>
      </c>
      <c r="H7" s="10" t="s">
        <v>107</v>
      </c>
      <c r="M7" s="10">
        <v>3</v>
      </c>
      <c r="N7" s="10" t="s">
        <v>68</v>
      </c>
      <c r="S7" s="10">
        <v>4</v>
      </c>
      <c r="T7" s="10" t="s">
        <v>131</v>
      </c>
      <c r="Y7" s="10">
        <v>5</v>
      </c>
      <c r="Z7" s="10" t="s">
        <v>133</v>
      </c>
      <c r="AE7" s="10">
        <v>6</v>
      </c>
      <c r="AF7" s="10" t="s">
        <v>134</v>
      </c>
      <c r="AK7" s="10">
        <v>7</v>
      </c>
      <c r="AL7" s="10" t="s">
        <v>76</v>
      </c>
      <c r="AQ7" s="10">
        <v>8</v>
      </c>
      <c r="AR7" s="10" t="s">
        <v>77</v>
      </c>
      <c r="AW7" s="10">
        <v>9</v>
      </c>
      <c r="AX7" s="10" t="s">
        <v>105</v>
      </c>
      <c r="BC7" s="10">
        <v>10</v>
      </c>
      <c r="BD7" s="10" t="s">
        <v>85</v>
      </c>
    </row>
    <row r="8" spans="1:60" x14ac:dyDescent="0.3">
      <c r="B8" s="129" t="s">
        <v>44</v>
      </c>
      <c r="C8" s="129"/>
      <c r="D8" s="129"/>
      <c r="E8" s="129"/>
      <c r="H8" s="126" t="s">
        <v>44</v>
      </c>
      <c r="I8" s="127"/>
      <c r="J8" s="127"/>
      <c r="K8" s="128"/>
      <c r="N8" s="126" t="s">
        <v>44</v>
      </c>
      <c r="O8" s="127"/>
      <c r="P8" s="127"/>
      <c r="Q8" s="128"/>
      <c r="T8" s="126" t="s">
        <v>44</v>
      </c>
      <c r="U8" s="127"/>
      <c r="V8" s="127"/>
      <c r="W8" s="128"/>
      <c r="Z8" s="126" t="s">
        <v>44</v>
      </c>
      <c r="AA8" s="127"/>
      <c r="AB8" s="127"/>
      <c r="AC8" s="128"/>
      <c r="AF8" s="126" t="s">
        <v>44</v>
      </c>
      <c r="AG8" s="127"/>
      <c r="AH8" s="127"/>
      <c r="AI8" s="128"/>
      <c r="AL8" s="126" t="s">
        <v>44</v>
      </c>
      <c r="AM8" s="127"/>
      <c r="AN8" s="127"/>
      <c r="AO8" s="128"/>
      <c r="AR8" s="126" t="s">
        <v>44</v>
      </c>
      <c r="AS8" s="127"/>
      <c r="AT8" s="127"/>
      <c r="AU8" s="128"/>
      <c r="AX8" s="126" t="s">
        <v>44</v>
      </c>
      <c r="AY8" s="127"/>
      <c r="AZ8" s="127"/>
      <c r="BA8" s="128"/>
      <c r="BD8" s="126" t="s">
        <v>44</v>
      </c>
      <c r="BE8" s="127"/>
      <c r="BF8" s="127"/>
      <c r="BG8" s="128"/>
    </row>
    <row r="9" spans="1:60" x14ac:dyDescent="0.3">
      <c r="B9" s="7"/>
      <c r="C9" s="7" t="s">
        <v>128</v>
      </c>
      <c r="D9" s="7" t="s">
        <v>129</v>
      </c>
      <c r="E9" s="7" t="s">
        <v>130</v>
      </c>
      <c r="H9" s="7"/>
      <c r="I9" s="7" t="s">
        <v>128</v>
      </c>
      <c r="J9" s="7" t="s">
        <v>129</v>
      </c>
      <c r="K9" s="7" t="s">
        <v>130</v>
      </c>
      <c r="N9" s="7"/>
      <c r="O9" s="7" t="s">
        <v>128</v>
      </c>
      <c r="P9" s="7" t="s">
        <v>129</v>
      </c>
      <c r="Q9" s="7" t="s">
        <v>130</v>
      </c>
      <c r="T9" s="7"/>
      <c r="U9" s="7" t="s">
        <v>128</v>
      </c>
      <c r="V9" s="7" t="s">
        <v>129</v>
      </c>
      <c r="W9" s="7" t="s">
        <v>130</v>
      </c>
      <c r="Z9" s="7"/>
      <c r="AA9" s="7" t="s">
        <v>128</v>
      </c>
      <c r="AB9" s="7" t="s">
        <v>129</v>
      </c>
      <c r="AC9" s="7" t="s">
        <v>130</v>
      </c>
      <c r="AF9" s="7"/>
      <c r="AG9" s="7" t="s">
        <v>128</v>
      </c>
      <c r="AH9" s="7" t="s">
        <v>129</v>
      </c>
      <c r="AI9" s="7" t="s">
        <v>130</v>
      </c>
      <c r="AL9" s="7"/>
      <c r="AM9" s="7" t="s">
        <v>128</v>
      </c>
      <c r="AN9" s="7" t="s">
        <v>129</v>
      </c>
      <c r="AO9" s="7" t="s">
        <v>130</v>
      </c>
      <c r="AR9" s="7"/>
      <c r="AS9" s="7" t="s">
        <v>128</v>
      </c>
      <c r="AT9" s="7" t="s">
        <v>129</v>
      </c>
      <c r="AU9" s="7" t="s">
        <v>130</v>
      </c>
      <c r="AX9" s="7"/>
      <c r="AY9" s="7" t="s">
        <v>128</v>
      </c>
      <c r="AZ9" s="7" t="s">
        <v>129</v>
      </c>
      <c r="BA9" s="7" t="s">
        <v>130</v>
      </c>
      <c r="BD9" s="7"/>
      <c r="BE9" s="7" t="s">
        <v>128</v>
      </c>
      <c r="BF9" s="7" t="s">
        <v>129</v>
      </c>
      <c r="BG9" s="7" t="s">
        <v>130</v>
      </c>
    </row>
    <row r="10" spans="1:60" x14ac:dyDescent="0.3">
      <c r="B10" s="7" t="s">
        <v>128</v>
      </c>
      <c r="C10" s="101">
        <v>1</v>
      </c>
      <c r="D10" s="11">
        <v>5</v>
      </c>
      <c r="E10" s="11">
        <v>7</v>
      </c>
      <c r="H10" s="7" t="s">
        <v>128</v>
      </c>
      <c r="I10" s="101">
        <v>1</v>
      </c>
      <c r="J10" s="11">
        <v>3</v>
      </c>
      <c r="K10" s="11">
        <v>1</v>
      </c>
      <c r="N10" s="7" t="s">
        <v>128</v>
      </c>
      <c r="O10" s="101">
        <v>1</v>
      </c>
      <c r="P10" s="11">
        <v>3</v>
      </c>
      <c r="Q10" s="11">
        <v>5</v>
      </c>
      <c r="T10" s="7" t="s">
        <v>128</v>
      </c>
      <c r="U10" s="101">
        <v>1</v>
      </c>
      <c r="V10" s="11">
        <v>1</v>
      </c>
      <c r="W10" s="11">
        <f>1/3</f>
        <v>0.33333333333333331</v>
      </c>
      <c r="Z10" s="7" t="s">
        <v>128</v>
      </c>
      <c r="AA10" s="101">
        <v>1</v>
      </c>
      <c r="AB10" s="11">
        <v>1</v>
      </c>
      <c r="AC10" s="11">
        <v>1</v>
      </c>
      <c r="AF10" s="7" t="s">
        <v>128</v>
      </c>
      <c r="AG10" s="101">
        <v>1</v>
      </c>
      <c r="AH10" s="11">
        <v>1</v>
      </c>
      <c r="AI10" s="11">
        <v>1</v>
      </c>
      <c r="AL10" s="7" t="s">
        <v>128</v>
      </c>
      <c r="AM10" s="101">
        <v>1</v>
      </c>
      <c r="AN10" s="11">
        <v>1</v>
      </c>
      <c r="AO10" s="11">
        <v>1</v>
      </c>
      <c r="AR10" s="7" t="s">
        <v>128</v>
      </c>
      <c r="AS10" s="101">
        <v>1</v>
      </c>
      <c r="AT10" s="11">
        <v>1</v>
      </c>
      <c r="AU10" s="11">
        <v>3</v>
      </c>
      <c r="AX10" s="7" t="s">
        <v>128</v>
      </c>
      <c r="AY10" s="101">
        <v>1</v>
      </c>
      <c r="AZ10" s="11">
        <v>5</v>
      </c>
      <c r="BA10" s="11">
        <v>3</v>
      </c>
      <c r="BD10" s="7" t="s">
        <v>128</v>
      </c>
      <c r="BE10" s="101">
        <v>1</v>
      </c>
      <c r="BF10" s="11">
        <v>5</v>
      </c>
      <c r="BG10" s="11">
        <v>7</v>
      </c>
    </row>
    <row r="11" spans="1:60" x14ac:dyDescent="0.3">
      <c r="B11" s="7" t="s">
        <v>129</v>
      </c>
      <c r="C11" s="11">
        <f>(1/D10)</f>
        <v>0.2</v>
      </c>
      <c r="D11" s="101">
        <v>1</v>
      </c>
      <c r="E11" s="11">
        <v>3</v>
      </c>
      <c r="H11" s="7" t="s">
        <v>129</v>
      </c>
      <c r="I11" s="11">
        <f>(1/J10)</f>
        <v>0.33333333333333331</v>
      </c>
      <c r="J11" s="101">
        <v>1</v>
      </c>
      <c r="K11" s="11">
        <f>1/3</f>
        <v>0.33333333333333331</v>
      </c>
      <c r="N11" s="7" t="s">
        <v>129</v>
      </c>
      <c r="O11" s="11">
        <f>(1/P10)</f>
        <v>0.33333333333333331</v>
      </c>
      <c r="P11" s="101">
        <v>1</v>
      </c>
      <c r="Q11" s="11">
        <v>3</v>
      </c>
      <c r="T11" s="7" t="s">
        <v>129</v>
      </c>
      <c r="U11" s="11">
        <f>(1/V10)</f>
        <v>1</v>
      </c>
      <c r="V11" s="101">
        <v>1</v>
      </c>
      <c r="W11" s="11">
        <f>1/3</f>
        <v>0.33333333333333331</v>
      </c>
      <c r="Z11" s="7" t="s">
        <v>129</v>
      </c>
      <c r="AA11" s="11">
        <f>(1/AB10)</f>
        <v>1</v>
      </c>
      <c r="AB11" s="101">
        <v>1</v>
      </c>
      <c r="AC11" s="11">
        <v>1</v>
      </c>
      <c r="AF11" s="7" t="s">
        <v>129</v>
      </c>
      <c r="AG11" s="11">
        <f>(1/AH10)</f>
        <v>1</v>
      </c>
      <c r="AH11" s="101">
        <v>1</v>
      </c>
      <c r="AI11" s="11">
        <v>1</v>
      </c>
      <c r="AL11" s="7" t="s">
        <v>129</v>
      </c>
      <c r="AM11" s="11">
        <f>(1/AN10)</f>
        <v>1</v>
      </c>
      <c r="AN11" s="101">
        <v>1</v>
      </c>
      <c r="AO11" s="11">
        <v>1</v>
      </c>
      <c r="AR11" s="7" t="s">
        <v>129</v>
      </c>
      <c r="AS11" s="11">
        <f>(1/AT10)</f>
        <v>1</v>
      </c>
      <c r="AT11" s="101">
        <v>1</v>
      </c>
      <c r="AU11" s="11">
        <v>3</v>
      </c>
      <c r="AX11" s="7" t="s">
        <v>129</v>
      </c>
      <c r="AY11" s="11">
        <f>(1/AZ10)</f>
        <v>0.2</v>
      </c>
      <c r="AZ11" s="101">
        <v>1</v>
      </c>
      <c r="BA11" s="11">
        <f>1/3</f>
        <v>0.33333333333333331</v>
      </c>
      <c r="BD11" s="7" t="s">
        <v>129</v>
      </c>
      <c r="BE11" s="11">
        <f>(1/BF10)</f>
        <v>0.2</v>
      </c>
      <c r="BF11" s="101">
        <v>1</v>
      </c>
      <c r="BG11" s="11">
        <v>3</v>
      </c>
    </row>
    <row r="12" spans="1:60" x14ac:dyDescent="0.3">
      <c r="B12" s="7" t="s">
        <v>130</v>
      </c>
      <c r="C12" s="11">
        <f>(1/E10)</f>
        <v>0.14285714285714285</v>
      </c>
      <c r="D12" s="11">
        <f>(1/E11)</f>
        <v>0.33333333333333331</v>
      </c>
      <c r="E12" s="101">
        <v>1</v>
      </c>
      <c r="H12" s="7" t="s">
        <v>130</v>
      </c>
      <c r="I12" s="22">
        <f>(1/K10)</f>
        <v>1</v>
      </c>
      <c r="J12" s="22">
        <f>(1/K11)</f>
        <v>3</v>
      </c>
      <c r="K12" s="102">
        <v>1</v>
      </c>
      <c r="N12" s="7" t="s">
        <v>130</v>
      </c>
      <c r="O12" s="11">
        <f>(1/Q10)</f>
        <v>0.2</v>
      </c>
      <c r="P12" s="11">
        <f>(1/Q11)</f>
        <v>0.33333333333333331</v>
      </c>
      <c r="Q12" s="101">
        <v>1</v>
      </c>
      <c r="T12" s="7" t="s">
        <v>130</v>
      </c>
      <c r="U12" s="11">
        <f>(1/W10)</f>
        <v>3</v>
      </c>
      <c r="V12" s="11">
        <f>(1/W11)</f>
        <v>3</v>
      </c>
      <c r="W12" s="101">
        <v>1</v>
      </c>
      <c r="Z12" s="7" t="s">
        <v>130</v>
      </c>
      <c r="AA12" s="11">
        <f>(1/AC10)</f>
        <v>1</v>
      </c>
      <c r="AB12" s="11">
        <f>(1/AC11)</f>
        <v>1</v>
      </c>
      <c r="AC12" s="101">
        <v>1</v>
      </c>
      <c r="AF12" s="7" t="s">
        <v>130</v>
      </c>
      <c r="AG12" s="11">
        <f>(1/AI10)</f>
        <v>1</v>
      </c>
      <c r="AH12" s="11">
        <f>(1/AI11)</f>
        <v>1</v>
      </c>
      <c r="AI12" s="101">
        <v>1</v>
      </c>
      <c r="AL12" s="7" t="s">
        <v>130</v>
      </c>
      <c r="AM12" s="11">
        <f>(1/AO10)</f>
        <v>1</v>
      </c>
      <c r="AN12" s="11">
        <f>(1/AO11)</f>
        <v>1</v>
      </c>
      <c r="AO12" s="101">
        <v>1</v>
      </c>
      <c r="AR12" s="7" t="s">
        <v>130</v>
      </c>
      <c r="AS12" s="11">
        <f>(1/AU10)</f>
        <v>0.33333333333333331</v>
      </c>
      <c r="AT12" s="11">
        <f>(1/AU11)</f>
        <v>0.33333333333333331</v>
      </c>
      <c r="AU12" s="101">
        <v>1</v>
      </c>
      <c r="AX12" s="7" t="s">
        <v>130</v>
      </c>
      <c r="AY12" s="11">
        <f>(1/BA10)</f>
        <v>0.33333333333333331</v>
      </c>
      <c r="AZ12" s="11">
        <f>(1/BA11)</f>
        <v>3</v>
      </c>
      <c r="BA12" s="101">
        <v>1</v>
      </c>
      <c r="BD12" s="7" t="s">
        <v>130</v>
      </c>
      <c r="BE12" s="11">
        <f>(1/BG10)</f>
        <v>0.14285714285714285</v>
      </c>
      <c r="BF12" s="11">
        <f>(1/BG11)</f>
        <v>0.33333333333333331</v>
      </c>
      <c r="BG12" s="101">
        <v>1</v>
      </c>
    </row>
    <row r="13" spans="1:60" x14ac:dyDescent="0.3">
      <c r="B13" s="7" t="s">
        <v>29</v>
      </c>
      <c r="C13" s="11">
        <f>SUM(C10:C12)</f>
        <v>1.3428571428571427</v>
      </c>
      <c r="D13" s="11">
        <f>SUM(D10:D12)</f>
        <v>6.333333333333333</v>
      </c>
      <c r="E13" s="11">
        <f t="shared" ref="E13" si="0">SUM(E10:E12)</f>
        <v>11</v>
      </c>
      <c r="H13" s="7" t="s">
        <v>29</v>
      </c>
      <c r="I13" s="11">
        <f>SUM(I10:I12)</f>
        <v>2.333333333333333</v>
      </c>
      <c r="J13" s="11">
        <f t="shared" ref="J13:K13" si="1">SUM(J10:J12)</f>
        <v>7</v>
      </c>
      <c r="K13" s="11">
        <f t="shared" si="1"/>
        <v>2.333333333333333</v>
      </c>
      <c r="N13" s="7" t="s">
        <v>29</v>
      </c>
      <c r="O13" s="11">
        <f>SUM(O10:O12)</f>
        <v>1.5333333333333332</v>
      </c>
      <c r="P13" s="11">
        <f t="shared" ref="P13" si="2">SUM(P10:P12)</f>
        <v>4.333333333333333</v>
      </c>
      <c r="Q13" s="11">
        <f t="shared" ref="Q13" si="3">SUM(Q10:Q12)</f>
        <v>9</v>
      </c>
      <c r="T13" s="7" t="s">
        <v>29</v>
      </c>
      <c r="U13" s="11">
        <f>SUM(U10:U12)</f>
        <v>5</v>
      </c>
      <c r="V13" s="11">
        <f t="shared" ref="V13" si="4">SUM(V10:V12)</f>
        <v>5</v>
      </c>
      <c r="W13" s="11">
        <f t="shared" ref="W13" si="5">SUM(W10:W12)</f>
        <v>1.6666666666666665</v>
      </c>
      <c r="Z13" s="7" t="s">
        <v>29</v>
      </c>
      <c r="AA13" s="11">
        <f>SUM(AA10:AA12)</f>
        <v>3</v>
      </c>
      <c r="AB13" s="11">
        <f>SUM(AB10:AB12)</f>
        <v>3</v>
      </c>
      <c r="AC13" s="11">
        <f>SUM(AC10:AC12)</f>
        <v>3</v>
      </c>
      <c r="AF13" s="7" t="s">
        <v>29</v>
      </c>
      <c r="AG13" s="11">
        <f>SUM(AG10:AG12)</f>
        <v>3</v>
      </c>
      <c r="AH13" s="11">
        <f t="shared" ref="AH13" si="6">SUM(AH10:AH12)</f>
        <v>3</v>
      </c>
      <c r="AI13" s="11">
        <f t="shared" ref="AI13" si="7">SUM(AI10:AI12)</f>
        <v>3</v>
      </c>
      <c r="AL13" s="7" t="s">
        <v>29</v>
      </c>
      <c r="AM13" s="11">
        <f>SUM(AM10:AM12)</f>
        <v>3</v>
      </c>
      <c r="AN13" s="11">
        <f>SUM(AN10:AN12)</f>
        <v>3</v>
      </c>
      <c r="AO13" s="11">
        <f t="shared" ref="AO13" si="8">SUM(AO10:AO12)</f>
        <v>3</v>
      </c>
      <c r="AR13" s="7" t="s">
        <v>29</v>
      </c>
      <c r="AS13" s="11">
        <f>SUM(AS10:AS12)</f>
        <v>2.3333333333333335</v>
      </c>
      <c r="AT13" s="11">
        <f>SUM(AT10:AT12)</f>
        <v>2.3333333333333335</v>
      </c>
      <c r="AU13" s="11">
        <f t="shared" ref="AU13" si="9">SUM(AU10:AU12)</f>
        <v>7</v>
      </c>
      <c r="AX13" s="7" t="s">
        <v>29</v>
      </c>
      <c r="AY13" s="11">
        <f>SUM(AY10:AY12)</f>
        <v>1.5333333333333332</v>
      </c>
      <c r="AZ13" s="11">
        <f>SUM(AZ10:AZ12)</f>
        <v>9</v>
      </c>
      <c r="BA13" s="11">
        <f t="shared" ref="BA13" si="10">SUM(BA10:BA12)</f>
        <v>4.3333333333333339</v>
      </c>
      <c r="BD13" s="7" t="s">
        <v>29</v>
      </c>
      <c r="BE13" s="11">
        <f>SUM(BE10:BE12)</f>
        <v>1.3428571428571427</v>
      </c>
      <c r="BF13" s="11">
        <f>SUM(BF10:BF12)</f>
        <v>6.333333333333333</v>
      </c>
      <c r="BG13" s="11">
        <f t="shared" ref="BG13" si="11">SUM(BG10:BG12)</f>
        <v>11</v>
      </c>
    </row>
    <row r="16" spans="1:60" x14ac:dyDescent="0.3">
      <c r="B16" s="126" t="s">
        <v>45</v>
      </c>
      <c r="C16" s="127"/>
      <c r="D16" s="127"/>
      <c r="E16" s="127"/>
      <c r="F16" s="128"/>
      <c r="H16" s="126" t="s">
        <v>46</v>
      </c>
      <c r="I16" s="127"/>
      <c r="J16" s="127"/>
      <c r="K16" s="127"/>
      <c r="L16" s="128"/>
      <c r="N16" s="126" t="s">
        <v>47</v>
      </c>
      <c r="O16" s="127"/>
      <c r="P16" s="127"/>
      <c r="Q16" s="127"/>
      <c r="R16" s="128"/>
      <c r="T16" s="126" t="s">
        <v>48</v>
      </c>
      <c r="U16" s="127"/>
      <c r="V16" s="127"/>
      <c r="W16" s="127"/>
      <c r="X16" s="128"/>
      <c r="Z16" s="126" t="s">
        <v>49</v>
      </c>
      <c r="AA16" s="127"/>
      <c r="AB16" s="127"/>
      <c r="AC16" s="127"/>
      <c r="AD16" s="128"/>
      <c r="AF16" s="126" t="s">
        <v>50</v>
      </c>
      <c r="AG16" s="127"/>
      <c r="AH16" s="127"/>
      <c r="AI16" s="127"/>
      <c r="AJ16" s="128"/>
      <c r="AL16" s="126" t="s">
        <v>51</v>
      </c>
      <c r="AM16" s="127"/>
      <c r="AN16" s="127"/>
      <c r="AO16" s="127"/>
      <c r="AP16" s="128"/>
      <c r="AR16" s="126" t="s">
        <v>51</v>
      </c>
      <c r="AS16" s="127"/>
      <c r="AT16" s="127"/>
      <c r="AU16" s="127"/>
      <c r="AV16" s="128"/>
      <c r="AX16" s="126" t="s">
        <v>51</v>
      </c>
      <c r="AY16" s="127"/>
      <c r="AZ16" s="127"/>
      <c r="BA16" s="127"/>
      <c r="BB16" s="128"/>
      <c r="BD16" s="126" t="s">
        <v>51</v>
      </c>
      <c r="BE16" s="127"/>
      <c r="BF16" s="127"/>
      <c r="BG16" s="127"/>
      <c r="BH16" s="128"/>
    </row>
    <row r="17" spans="2:60" ht="45" customHeight="1" x14ac:dyDescent="0.3">
      <c r="B17" s="7"/>
      <c r="C17" s="7" t="s">
        <v>128</v>
      </c>
      <c r="D17" s="7" t="s">
        <v>129</v>
      </c>
      <c r="E17" s="7" t="s">
        <v>130</v>
      </c>
      <c r="F17" s="12" t="s">
        <v>52</v>
      </c>
      <c r="H17" s="7"/>
      <c r="I17" s="7" t="s">
        <v>128</v>
      </c>
      <c r="J17" s="7" t="s">
        <v>129</v>
      </c>
      <c r="K17" s="7" t="s">
        <v>130</v>
      </c>
      <c r="L17" s="12" t="s">
        <v>52</v>
      </c>
      <c r="N17" s="7"/>
      <c r="O17" s="7" t="s">
        <v>128</v>
      </c>
      <c r="P17" s="7" t="s">
        <v>129</v>
      </c>
      <c r="Q17" s="7" t="s">
        <v>130</v>
      </c>
      <c r="R17" s="12" t="s">
        <v>52</v>
      </c>
      <c r="T17" s="7"/>
      <c r="U17" s="7" t="s">
        <v>128</v>
      </c>
      <c r="V17" s="7" t="s">
        <v>129</v>
      </c>
      <c r="W17" s="7" t="s">
        <v>130</v>
      </c>
      <c r="X17" s="12" t="s">
        <v>52</v>
      </c>
      <c r="Z17" s="7"/>
      <c r="AA17" s="7" t="s">
        <v>128</v>
      </c>
      <c r="AB17" s="7" t="s">
        <v>129</v>
      </c>
      <c r="AC17" s="7" t="s">
        <v>130</v>
      </c>
      <c r="AD17" s="12" t="s">
        <v>52</v>
      </c>
      <c r="AF17" s="7"/>
      <c r="AG17" s="7" t="s">
        <v>128</v>
      </c>
      <c r="AH17" s="7" t="s">
        <v>129</v>
      </c>
      <c r="AI17" s="7" t="s">
        <v>130</v>
      </c>
      <c r="AJ17" s="12" t="s">
        <v>52</v>
      </c>
      <c r="AL17" s="7"/>
      <c r="AM17" s="7" t="s">
        <v>128</v>
      </c>
      <c r="AN17" s="7" t="s">
        <v>129</v>
      </c>
      <c r="AO17" s="7" t="s">
        <v>130</v>
      </c>
      <c r="AP17" s="12" t="s">
        <v>52</v>
      </c>
      <c r="AR17" s="7"/>
      <c r="AS17" s="7" t="s">
        <v>128</v>
      </c>
      <c r="AT17" s="7" t="s">
        <v>129</v>
      </c>
      <c r="AU17" s="7" t="s">
        <v>130</v>
      </c>
      <c r="AV17" s="12" t="s">
        <v>52</v>
      </c>
      <c r="AX17" s="7"/>
      <c r="AY17" s="7" t="s">
        <v>128</v>
      </c>
      <c r="AZ17" s="7" t="s">
        <v>129</v>
      </c>
      <c r="BA17" s="7" t="s">
        <v>130</v>
      </c>
      <c r="BB17" s="12" t="s">
        <v>52</v>
      </c>
      <c r="BD17" s="7"/>
      <c r="BE17" s="7" t="s">
        <v>128</v>
      </c>
      <c r="BF17" s="7" t="s">
        <v>129</v>
      </c>
      <c r="BG17" s="7" t="s">
        <v>130</v>
      </c>
      <c r="BH17" s="12" t="s">
        <v>52</v>
      </c>
    </row>
    <row r="18" spans="2:60" x14ac:dyDescent="0.3">
      <c r="B18" s="7" t="s">
        <v>128</v>
      </c>
      <c r="C18" s="13">
        <f>C10/C$13</f>
        <v>0.74468085106382986</v>
      </c>
      <c r="D18" s="13">
        <f>D10/D$13</f>
        <v>0.78947368421052633</v>
      </c>
      <c r="E18" s="13">
        <f>E10/E$13</f>
        <v>0.63636363636363635</v>
      </c>
      <c r="F18" s="24">
        <f>AVERAGE(C18:E18)</f>
        <v>0.72350605721266426</v>
      </c>
      <c r="H18" s="7" t="s">
        <v>128</v>
      </c>
      <c r="I18" s="13">
        <f>I10/I$13</f>
        <v>0.4285714285714286</v>
      </c>
      <c r="J18" s="13">
        <f t="shared" ref="J18:K18" si="12">J10/J$13</f>
        <v>0.42857142857142855</v>
      </c>
      <c r="K18" s="13">
        <f t="shared" si="12"/>
        <v>0.4285714285714286</v>
      </c>
      <c r="L18" s="24">
        <f>AVERAGE(I18:K18)</f>
        <v>0.4285714285714286</v>
      </c>
      <c r="N18" s="7" t="s">
        <v>128</v>
      </c>
      <c r="O18" s="13">
        <f>O10/O$13</f>
        <v>0.65217391304347827</v>
      </c>
      <c r="P18" s="13">
        <f t="shared" ref="P18:Q18" si="13">P10/P$13</f>
        <v>0.6923076923076924</v>
      </c>
      <c r="Q18" s="13">
        <f t="shared" si="13"/>
        <v>0.55555555555555558</v>
      </c>
      <c r="R18" s="24">
        <f>AVERAGE(O18:Q18)</f>
        <v>0.63334572030224201</v>
      </c>
      <c r="T18" s="7" t="s">
        <v>128</v>
      </c>
      <c r="U18" s="13">
        <f>U10/U$13</f>
        <v>0.2</v>
      </c>
      <c r="V18" s="13">
        <f t="shared" ref="V18:W18" si="14">V10/V$13</f>
        <v>0.2</v>
      </c>
      <c r="W18" s="13">
        <f t="shared" si="14"/>
        <v>0.2</v>
      </c>
      <c r="X18" s="24">
        <f>AVERAGE(U18:W18)</f>
        <v>0.20000000000000004</v>
      </c>
      <c r="Z18" s="7" t="s">
        <v>128</v>
      </c>
      <c r="AA18" s="13">
        <f>AA10/AA$13</f>
        <v>0.33333333333333331</v>
      </c>
      <c r="AB18" s="13">
        <f t="shared" ref="AB18:AC18" si="15">AB10/AB$13</f>
        <v>0.33333333333333331</v>
      </c>
      <c r="AC18" s="13">
        <f t="shared" si="15"/>
        <v>0.33333333333333331</v>
      </c>
      <c r="AD18" s="24">
        <f>AVERAGE(AA18:AC18)</f>
        <v>0.33333333333333331</v>
      </c>
      <c r="AF18" s="7" t="s">
        <v>128</v>
      </c>
      <c r="AG18" s="13">
        <f>AG10/AG$13</f>
        <v>0.33333333333333331</v>
      </c>
      <c r="AH18" s="13">
        <f t="shared" ref="AH18:AI18" si="16">AH10/AH$13</f>
        <v>0.33333333333333331</v>
      </c>
      <c r="AI18" s="13">
        <f t="shared" si="16"/>
        <v>0.33333333333333331</v>
      </c>
      <c r="AJ18" s="24">
        <f>AVERAGE(AG18:AI18)</f>
        <v>0.33333333333333331</v>
      </c>
      <c r="AL18" s="7" t="s">
        <v>128</v>
      </c>
      <c r="AM18" s="13">
        <f>AM10/AM$13</f>
        <v>0.33333333333333331</v>
      </c>
      <c r="AN18" s="13">
        <f t="shared" ref="AN18:AO18" si="17">AN10/AN$13</f>
        <v>0.33333333333333331</v>
      </c>
      <c r="AO18" s="13">
        <f t="shared" si="17"/>
        <v>0.33333333333333331</v>
      </c>
      <c r="AP18" s="24">
        <f>AVERAGE(AM18:AO18)</f>
        <v>0.33333333333333331</v>
      </c>
      <c r="AR18" s="7" t="s">
        <v>128</v>
      </c>
      <c r="AS18" s="13">
        <f>AS10/AS$13</f>
        <v>0.42857142857142855</v>
      </c>
      <c r="AT18" s="13">
        <f t="shared" ref="AT18:AU18" si="18">AT10/AT$13</f>
        <v>0.42857142857142855</v>
      </c>
      <c r="AU18" s="13">
        <f t="shared" si="18"/>
        <v>0.42857142857142855</v>
      </c>
      <c r="AV18" s="24">
        <f>AVERAGE(AS18:AU18)</f>
        <v>0.42857142857142855</v>
      </c>
      <c r="AX18" s="7" t="s">
        <v>128</v>
      </c>
      <c r="AY18" s="13">
        <f>AY10/AY$13</f>
        <v>0.65217391304347827</v>
      </c>
      <c r="AZ18" s="13">
        <f t="shared" ref="AZ18:BA18" si="19">AZ10/AZ$13</f>
        <v>0.55555555555555558</v>
      </c>
      <c r="BA18" s="13">
        <f t="shared" si="19"/>
        <v>0.69230769230769218</v>
      </c>
      <c r="BB18" s="24">
        <f>AVERAGE(AY18:BA18)</f>
        <v>0.63334572030224201</v>
      </c>
      <c r="BD18" s="7" t="s">
        <v>128</v>
      </c>
      <c r="BE18" s="13">
        <f>BE10/BE$13</f>
        <v>0.74468085106382986</v>
      </c>
      <c r="BF18" s="13">
        <f t="shared" ref="BF18:BG18" si="20">BF10/BF$13</f>
        <v>0.78947368421052633</v>
      </c>
      <c r="BG18" s="13">
        <f t="shared" si="20"/>
        <v>0.63636363636363635</v>
      </c>
      <c r="BH18" s="24">
        <f>AVERAGE(BE18:BG18)</f>
        <v>0.72350605721266426</v>
      </c>
    </row>
    <row r="19" spans="2:60" x14ac:dyDescent="0.3">
      <c r="B19" s="7" t="s">
        <v>129</v>
      </c>
      <c r="C19" s="13">
        <f t="shared" ref="C19:E20" si="21">C11/C$13</f>
        <v>0.14893617021276598</v>
      </c>
      <c r="D19" s="13">
        <f t="shared" si="21"/>
        <v>0.15789473684210528</v>
      </c>
      <c r="E19" s="13">
        <f t="shared" si="21"/>
        <v>0.27272727272727271</v>
      </c>
      <c r="F19" s="24">
        <f t="shared" ref="F19:F21" si="22">AVERAGE(C19:E19)</f>
        <v>0.19318605992738133</v>
      </c>
      <c r="H19" s="7" t="s">
        <v>129</v>
      </c>
      <c r="I19" s="13">
        <f t="shared" ref="I19:K20" si="23">I11/I$13</f>
        <v>0.14285714285714288</v>
      </c>
      <c r="J19" s="13">
        <f t="shared" si="23"/>
        <v>0.14285714285714285</v>
      </c>
      <c r="K19" s="13">
        <f t="shared" si="23"/>
        <v>0.14285714285714288</v>
      </c>
      <c r="L19" s="24">
        <f t="shared" ref="L19:L20" si="24">AVERAGE(I19:K19)</f>
        <v>0.14285714285714288</v>
      </c>
      <c r="N19" s="7" t="s">
        <v>129</v>
      </c>
      <c r="O19" s="13">
        <f t="shared" ref="O19:Q19" si="25">O11/O$13</f>
        <v>0.21739130434782608</v>
      </c>
      <c r="P19" s="13">
        <f t="shared" si="25"/>
        <v>0.23076923076923078</v>
      </c>
      <c r="Q19" s="13">
        <f t="shared" si="25"/>
        <v>0.33333333333333331</v>
      </c>
      <c r="R19" s="24">
        <f t="shared" ref="R19:R20" si="26">AVERAGE(O19:Q19)</f>
        <v>0.26049795615013011</v>
      </c>
      <c r="T19" s="7" t="s">
        <v>129</v>
      </c>
      <c r="U19" s="13">
        <f t="shared" ref="U19:W19" si="27">U11/U$13</f>
        <v>0.2</v>
      </c>
      <c r="V19" s="13">
        <f t="shared" si="27"/>
        <v>0.2</v>
      </c>
      <c r="W19" s="13">
        <f t="shared" si="27"/>
        <v>0.2</v>
      </c>
      <c r="X19" s="24">
        <f t="shared" ref="X19:X20" si="28">AVERAGE(U19:W19)</f>
        <v>0.20000000000000004</v>
      </c>
      <c r="Z19" s="7" t="s">
        <v>129</v>
      </c>
      <c r="AA19" s="13">
        <f>AA11/AA$13</f>
        <v>0.33333333333333331</v>
      </c>
      <c r="AB19" s="13">
        <f t="shared" ref="AB19:AC19" si="29">AB11/AB$13</f>
        <v>0.33333333333333331</v>
      </c>
      <c r="AC19" s="13">
        <f t="shared" si="29"/>
        <v>0.33333333333333331</v>
      </c>
      <c r="AD19" s="24">
        <f t="shared" ref="AD19:AD20" si="30">AVERAGE(AA19:AC19)</f>
        <v>0.33333333333333331</v>
      </c>
      <c r="AF19" s="7" t="s">
        <v>129</v>
      </c>
      <c r="AG19" s="13">
        <f t="shared" ref="AG19:AI19" si="31">AG11/AG$13</f>
        <v>0.33333333333333331</v>
      </c>
      <c r="AH19" s="13">
        <f t="shared" si="31"/>
        <v>0.33333333333333331</v>
      </c>
      <c r="AI19" s="13">
        <f t="shared" si="31"/>
        <v>0.33333333333333331</v>
      </c>
      <c r="AJ19" s="24">
        <f>AVERAGE(AG19:AI19)</f>
        <v>0.33333333333333331</v>
      </c>
      <c r="AL19" s="7" t="s">
        <v>129</v>
      </c>
      <c r="AM19" s="13">
        <f t="shared" ref="AM19:AO19" si="32">AM11/AM$13</f>
        <v>0.33333333333333331</v>
      </c>
      <c r="AN19" s="13">
        <f t="shared" si="32"/>
        <v>0.33333333333333331</v>
      </c>
      <c r="AO19" s="13">
        <f t="shared" si="32"/>
        <v>0.33333333333333331</v>
      </c>
      <c r="AP19" s="24">
        <f t="shared" ref="AP19:AP20" si="33">AVERAGE(AM19:AO19)</f>
        <v>0.33333333333333331</v>
      </c>
      <c r="AR19" s="7" t="s">
        <v>129</v>
      </c>
      <c r="AS19" s="13">
        <f t="shared" ref="AS19:AU19" si="34">AS11/AS$13</f>
        <v>0.42857142857142855</v>
      </c>
      <c r="AT19" s="13">
        <f t="shared" si="34"/>
        <v>0.42857142857142855</v>
      </c>
      <c r="AU19" s="13">
        <f t="shared" si="34"/>
        <v>0.42857142857142855</v>
      </c>
      <c r="AV19" s="24">
        <f t="shared" ref="AV19:AV20" si="35">AVERAGE(AS19:AU19)</f>
        <v>0.42857142857142855</v>
      </c>
      <c r="AX19" s="7" t="s">
        <v>129</v>
      </c>
      <c r="AY19" s="13">
        <f t="shared" ref="AY19:BA19" si="36">AY11/AY$13</f>
        <v>0.13043478260869568</v>
      </c>
      <c r="AZ19" s="13">
        <f t="shared" si="36"/>
        <v>0.1111111111111111</v>
      </c>
      <c r="BA19" s="13">
        <f t="shared" si="36"/>
        <v>7.6923076923076913E-2</v>
      </c>
      <c r="BB19" s="24">
        <f t="shared" ref="BB19:BB20" si="37">AVERAGE(AY19:BA19)</f>
        <v>0.1061563235476279</v>
      </c>
      <c r="BD19" s="7" t="s">
        <v>129</v>
      </c>
      <c r="BE19" s="13">
        <f t="shared" ref="BE19:BG19" si="38">BE11/BE$13</f>
        <v>0.14893617021276598</v>
      </c>
      <c r="BF19" s="13">
        <f t="shared" si="38"/>
        <v>0.15789473684210528</v>
      </c>
      <c r="BG19" s="13">
        <f t="shared" si="38"/>
        <v>0.27272727272727271</v>
      </c>
      <c r="BH19" s="24">
        <f t="shared" ref="BH19:BH20" si="39">AVERAGE(BE19:BG19)</f>
        <v>0.19318605992738133</v>
      </c>
    </row>
    <row r="20" spans="2:60" x14ac:dyDescent="0.3">
      <c r="B20" s="7" t="s">
        <v>130</v>
      </c>
      <c r="C20" s="13">
        <f t="shared" si="21"/>
        <v>0.10638297872340426</v>
      </c>
      <c r="D20" s="13">
        <f>D12/D$13</f>
        <v>5.2631578947368418E-2</v>
      </c>
      <c r="E20" s="13">
        <f t="shared" si="21"/>
        <v>9.0909090909090912E-2</v>
      </c>
      <c r="F20" s="24">
        <f t="shared" si="22"/>
        <v>8.3307882859954524E-2</v>
      </c>
      <c r="H20" s="7" t="s">
        <v>130</v>
      </c>
      <c r="I20" s="13">
        <f t="shared" si="23"/>
        <v>0.4285714285714286</v>
      </c>
      <c r="J20" s="13">
        <f t="shared" si="23"/>
        <v>0.42857142857142855</v>
      </c>
      <c r="K20" s="13">
        <f t="shared" si="23"/>
        <v>0.4285714285714286</v>
      </c>
      <c r="L20" s="24">
        <f t="shared" si="24"/>
        <v>0.4285714285714286</v>
      </c>
      <c r="N20" s="7" t="s">
        <v>130</v>
      </c>
      <c r="O20" s="13">
        <f t="shared" ref="O20:Q20" si="40">O12/O$13</f>
        <v>0.13043478260869568</v>
      </c>
      <c r="P20" s="13">
        <f t="shared" si="40"/>
        <v>7.6923076923076927E-2</v>
      </c>
      <c r="Q20" s="13">
        <f t="shared" si="40"/>
        <v>0.1111111111111111</v>
      </c>
      <c r="R20" s="24">
        <f t="shared" si="26"/>
        <v>0.1061563235476279</v>
      </c>
      <c r="T20" s="7" t="s">
        <v>130</v>
      </c>
      <c r="U20" s="13">
        <f t="shared" ref="U20:V20" si="41">U12/U$13</f>
        <v>0.6</v>
      </c>
      <c r="V20" s="13">
        <f t="shared" si="41"/>
        <v>0.6</v>
      </c>
      <c r="W20" s="13">
        <f>W12/W$13</f>
        <v>0.60000000000000009</v>
      </c>
      <c r="X20" s="24">
        <f t="shared" si="28"/>
        <v>0.6</v>
      </c>
      <c r="Z20" s="7" t="s">
        <v>130</v>
      </c>
      <c r="AA20" s="13">
        <f t="shared" ref="AA20:AC20" si="42">AA12/AA$13</f>
        <v>0.33333333333333331</v>
      </c>
      <c r="AB20" s="13">
        <f t="shared" si="42"/>
        <v>0.33333333333333331</v>
      </c>
      <c r="AC20" s="13">
        <f t="shared" si="42"/>
        <v>0.33333333333333331</v>
      </c>
      <c r="AD20" s="24">
        <f t="shared" si="30"/>
        <v>0.33333333333333331</v>
      </c>
      <c r="AF20" s="7" t="s">
        <v>130</v>
      </c>
      <c r="AG20" s="13">
        <f t="shared" ref="AG20:AI20" si="43">AG12/AG$13</f>
        <v>0.33333333333333331</v>
      </c>
      <c r="AH20" s="13">
        <f t="shared" si="43"/>
        <v>0.33333333333333331</v>
      </c>
      <c r="AI20" s="13">
        <f t="shared" si="43"/>
        <v>0.33333333333333331</v>
      </c>
      <c r="AJ20" s="24">
        <f t="shared" ref="AJ20" si="44">AVERAGE(AG20:AI20)</f>
        <v>0.33333333333333331</v>
      </c>
      <c r="AL20" s="7" t="s">
        <v>130</v>
      </c>
      <c r="AM20" s="13">
        <f t="shared" ref="AM20:AO20" si="45">AM12/AM$13</f>
        <v>0.33333333333333331</v>
      </c>
      <c r="AN20" s="13">
        <f t="shared" si="45"/>
        <v>0.33333333333333331</v>
      </c>
      <c r="AO20" s="13">
        <f t="shared" si="45"/>
        <v>0.33333333333333331</v>
      </c>
      <c r="AP20" s="24">
        <f t="shared" si="33"/>
        <v>0.33333333333333331</v>
      </c>
      <c r="AR20" s="7" t="s">
        <v>130</v>
      </c>
      <c r="AS20" s="13">
        <f t="shared" ref="AS20:AU20" si="46">AS12/AS$13</f>
        <v>0.14285714285714285</v>
      </c>
      <c r="AT20" s="13">
        <f t="shared" si="46"/>
        <v>0.14285714285714285</v>
      </c>
      <c r="AU20" s="13">
        <f t="shared" si="46"/>
        <v>0.14285714285714285</v>
      </c>
      <c r="AV20" s="24">
        <f t="shared" si="35"/>
        <v>0.14285714285714285</v>
      </c>
      <c r="AX20" s="7" t="s">
        <v>130</v>
      </c>
      <c r="AY20" s="13">
        <f t="shared" ref="AY20:BA20" si="47">AY12/AY$13</f>
        <v>0.21739130434782608</v>
      </c>
      <c r="AZ20" s="13">
        <f t="shared" si="47"/>
        <v>0.33333333333333331</v>
      </c>
      <c r="BA20" s="13">
        <f t="shared" si="47"/>
        <v>0.23076923076923073</v>
      </c>
      <c r="BB20" s="24">
        <f t="shared" si="37"/>
        <v>0.26049795615013005</v>
      </c>
      <c r="BD20" s="7" t="s">
        <v>130</v>
      </c>
      <c r="BE20" s="13">
        <f t="shared" ref="BE20:BG20" si="48">BE12/BE$13</f>
        <v>0.10638297872340426</v>
      </c>
      <c r="BF20" s="13">
        <f t="shared" si="48"/>
        <v>5.2631578947368418E-2</v>
      </c>
      <c r="BG20" s="13">
        <f t="shared" si="48"/>
        <v>9.0909090909090912E-2</v>
      </c>
      <c r="BH20" s="24">
        <f t="shared" si="39"/>
        <v>8.3307882859954524E-2</v>
      </c>
    </row>
    <row r="21" spans="2:60" x14ac:dyDescent="0.3">
      <c r="B21" s="7" t="s">
        <v>29</v>
      </c>
      <c r="C21" s="11">
        <f>SUM(C18:C20)</f>
        <v>1</v>
      </c>
      <c r="D21" s="11">
        <f t="shared" ref="D21:E21" si="49">SUM(D18:D20)</f>
        <v>1</v>
      </c>
      <c r="E21" s="11">
        <f t="shared" si="49"/>
        <v>1</v>
      </c>
      <c r="F21" s="24">
        <f t="shared" si="22"/>
        <v>1</v>
      </c>
      <c r="H21" s="7" t="s">
        <v>29</v>
      </c>
      <c r="I21" s="11">
        <f>SUM(I18:I20)</f>
        <v>1</v>
      </c>
      <c r="J21" s="11">
        <f t="shared" ref="J21:L21" si="50">SUM(J18:J20)</f>
        <v>1</v>
      </c>
      <c r="K21" s="11">
        <f t="shared" si="50"/>
        <v>1</v>
      </c>
      <c r="L21" s="24">
        <f t="shared" si="50"/>
        <v>1</v>
      </c>
      <c r="N21" s="7" t="s">
        <v>29</v>
      </c>
      <c r="O21" s="11">
        <f>SUM(O18:O20)</f>
        <v>1</v>
      </c>
      <c r="P21" s="11">
        <f t="shared" ref="P21" si="51">SUM(P18:P20)</f>
        <v>1</v>
      </c>
      <c r="Q21" s="11">
        <f t="shared" ref="Q21" si="52">SUM(Q18:Q20)</f>
        <v>1</v>
      </c>
      <c r="R21" s="24">
        <f t="shared" ref="R21" si="53">SUM(R18:R20)</f>
        <v>1</v>
      </c>
      <c r="T21" s="7" t="s">
        <v>29</v>
      </c>
      <c r="U21" s="11">
        <f>SUM(U18:U20)</f>
        <v>1</v>
      </c>
      <c r="V21" s="11">
        <f t="shared" ref="V21" si="54">SUM(V18:V20)</f>
        <v>1</v>
      </c>
      <c r="W21" s="11">
        <f t="shared" ref="W21" si="55">SUM(W18:W20)</f>
        <v>1</v>
      </c>
      <c r="X21" s="24">
        <f t="shared" ref="X21" si="56">SUM(X18:X20)</f>
        <v>1</v>
      </c>
      <c r="Z21" s="7" t="s">
        <v>29</v>
      </c>
      <c r="AA21" s="11">
        <f>SUM(AA18:AA20)</f>
        <v>1</v>
      </c>
      <c r="AB21" s="11">
        <f t="shared" ref="AB21" si="57">SUM(AB18:AB20)</f>
        <v>1</v>
      </c>
      <c r="AC21" s="11">
        <f t="shared" ref="AC21" si="58">SUM(AC18:AC20)</f>
        <v>1</v>
      </c>
      <c r="AD21" s="24">
        <f t="shared" ref="AD21" si="59">SUM(AD18:AD20)</f>
        <v>1</v>
      </c>
      <c r="AF21" s="7" t="s">
        <v>29</v>
      </c>
      <c r="AG21" s="11">
        <f>SUM(AG18:AG20)</f>
        <v>1</v>
      </c>
      <c r="AH21" s="11">
        <f t="shared" ref="AH21" si="60">SUM(AH18:AH20)</f>
        <v>1</v>
      </c>
      <c r="AI21" s="11">
        <f t="shared" ref="AI21" si="61">SUM(AI18:AI20)</f>
        <v>1</v>
      </c>
      <c r="AJ21" s="24">
        <f t="shared" ref="AJ21" si="62">SUM(AJ18:AJ20)</f>
        <v>1</v>
      </c>
      <c r="AL21" s="7" t="s">
        <v>29</v>
      </c>
      <c r="AM21" s="11">
        <f>SUM(AM18:AM20)</f>
        <v>1</v>
      </c>
      <c r="AN21" s="11">
        <f t="shared" ref="AN21" si="63">SUM(AN18:AN20)</f>
        <v>1</v>
      </c>
      <c r="AO21" s="11">
        <f t="shared" ref="AO21" si="64">SUM(AO18:AO20)</f>
        <v>1</v>
      </c>
      <c r="AP21" s="24">
        <f t="shared" ref="AP21" si="65">SUM(AP18:AP20)</f>
        <v>1</v>
      </c>
      <c r="AR21" s="7" t="s">
        <v>29</v>
      </c>
      <c r="AS21" s="11">
        <f>SUM(AS18:AS20)</f>
        <v>1</v>
      </c>
      <c r="AT21" s="11">
        <f t="shared" ref="AT21:AV21" si="66">SUM(AT18:AT20)</f>
        <v>1</v>
      </c>
      <c r="AU21" s="11">
        <f t="shared" si="66"/>
        <v>1</v>
      </c>
      <c r="AV21" s="24">
        <f t="shared" si="66"/>
        <v>1</v>
      </c>
      <c r="AX21" s="7" t="s">
        <v>29</v>
      </c>
      <c r="AY21" s="11">
        <f>SUM(AY18:AY20)</f>
        <v>1</v>
      </c>
      <c r="AZ21" s="11">
        <f t="shared" ref="AZ21:BB21" si="67">SUM(AZ18:AZ20)</f>
        <v>1</v>
      </c>
      <c r="BA21" s="11">
        <f t="shared" si="67"/>
        <v>0.99999999999999978</v>
      </c>
      <c r="BB21" s="24">
        <f t="shared" si="67"/>
        <v>1</v>
      </c>
      <c r="BD21" s="7" t="s">
        <v>29</v>
      </c>
      <c r="BE21" s="11">
        <f>SUM(BE18:BE20)</f>
        <v>1</v>
      </c>
      <c r="BF21" s="11">
        <f t="shared" ref="BF21:BH21" si="68">SUM(BF18:BF20)</f>
        <v>1</v>
      </c>
      <c r="BG21" s="11">
        <f t="shared" si="68"/>
        <v>1</v>
      </c>
      <c r="BH21" s="24">
        <f t="shared" si="68"/>
        <v>1.0000000000000002</v>
      </c>
    </row>
    <row r="24" spans="2:60" ht="48" customHeight="1" x14ac:dyDescent="0.3">
      <c r="B24" s="12" t="s">
        <v>53</v>
      </c>
      <c r="C24" s="12" t="s">
        <v>54</v>
      </c>
      <c r="D24" s="12" t="s">
        <v>55</v>
      </c>
      <c r="H24" s="12" t="s">
        <v>53</v>
      </c>
      <c r="I24" s="12" t="s">
        <v>54</v>
      </c>
      <c r="J24" s="12" t="s">
        <v>55</v>
      </c>
      <c r="N24" s="12" t="s">
        <v>53</v>
      </c>
      <c r="O24" s="12" t="s">
        <v>54</v>
      </c>
      <c r="P24" s="12" t="s">
        <v>55</v>
      </c>
      <c r="T24" s="12" t="s">
        <v>53</v>
      </c>
      <c r="U24" s="12" t="s">
        <v>54</v>
      </c>
      <c r="V24" s="12" t="s">
        <v>55</v>
      </c>
      <c r="Z24" s="12" t="s">
        <v>53</v>
      </c>
      <c r="AA24" s="12" t="s">
        <v>54</v>
      </c>
      <c r="AB24" s="12" t="s">
        <v>55</v>
      </c>
      <c r="AF24" s="12" t="s">
        <v>53</v>
      </c>
      <c r="AG24" s="12" t="s">
        <v>54</v>
      </c>
      <c r="AH24" s="12" t="s">
        <v>55</v>
      </c>
      <c r="AL24" s="12" t="s">
        <v>53</v>
      </c>
      <c r="AM24" s="12" t="s">
        <v>54</v>
      </c>
      <c r="AN24" s="12" t="s">
        <v>55</v>
      </c>
      <c r="AR24" s="12" t="s">
        <v>53</v>
      </c>
      <c r="AS24" s="12" t="s">
        <v>54</v>
      </c>
      <c r="AT24" s="12" t="s">
        <v>55</v>
      </c>
      <c r="AX24" s="12" t="s">
        <v>53</v>
      </c>
      <c r="AY24" s="12" t="s">
        <v>54</v>
      </c>
      <c r="AZ24" s="12" t="s">
        <v>55</v>
      </c>
      <c r="BD24" s="12" t="s">
        <v>53</v>
      </c>
      <c r="BE24" s="12" t="s">
        <v>54</v>
      </c>
      <c r="BF24" s="12" t="s">
        <v>55</v>
      </c>
    </row>
    <row r="25" spans="2:60" x14ac:dyDescent="0.3">
      <c r="B25" s="24" cm="1">
        <f t="array" ref="B25:B27">MMULT(C.1,P.1)</f>
        <v>2.2725915368692524</v>
      </c>
      <c r="C25" s="24">
        <f>AVERAGE(C18:E18)</f>
        <v>0.72350605721266426</v>
      </c>
      <c r="D25" s="24">
        <f>B25/C25</f>
        <v>3.1410815627784809</v>
      </c>
      <c r="H25" s="24" cm="1">
        <f t="array" ref="H25:H27">MMULT(C.2,P.2)</f>
        <v>1.2857142857142858</v>
      </c>
      <c r="I25" s="24">
        <f>AVERAGE(I18:K18)</f>
        <v>0.4285714285714286</v>
      </c>
      <c r="J25" s="24">
        <f>H25/I25</f>
        <v>3</v>
      </c>
      <c r="N25" s="24" cm="1">
        <f t="array" ref="N25:N27">MMULT(C.3,P.3)</f>
        <v>1.9456212064907716</v>
      </c>
      <c r="O25" s="24">
        <f>AVERAGE(O18:Q18)</f>
        <v>0.63334572030224201</v>
      </c>
      <c r="P25" s="24">
        <f>N25/O25</f>
        <v>3.0719734011343633</v>
      </c>
      <c r="T25" s="24" cm="1">
        <f t="array" ref="T25:T27">MMULT(C.4,P.4)</f>
        <v>0.60000000000000009</v>
      </c>
      <c r="U25" s="24">
        <f>AVERAGE(U18:W18)</f>
        <v>0.20000000000000004</v>
      </c>
      <c r="V25" s="24">
        <f>T25/U25</f>
        <v>3</v>
      </c>
      <c r="Z25" s="24" cm="1">
        <f t="array" ref="Z25:Z27">MMULT(C.5,P.5)</f>
        <v>1</v>
      </c>
      <c r="AA25" s="24">
        <f>AVERAGE(AA18:AC18)</f>
        <v>0.33333333333333331</v>
      </c>
      <c r="AB25" s="24">
        <f>Z25/AA25</f>
        <v>3</v>
      </c>
      <c r="AF25" s="24" cm="1">
        <f t="array" ref="AF25:AF27">MMULT(C.6,P.6)</f>
        <v>1</v>
      </c>
      <c r="AG25" s="24">
        <f>AVERAGE(AG18:AI18)</f>
        <v>0.33333333333333331</v>
      </c>
      <c r="AH25" s="24">
        <f>AF25/AG25</f>
        <v>3</v>
      </c>
      <c r="AL25" s="24" cm="1">
        <f t="array" ref="AL25:AL27">MMULT(C.7,P.7)</f>
        <v>1</v>
      </c>
      <c r="AM25" s="24">
        <f>AVERAGE(AM18:AO18)</f>
        <v>0.33333333333333331</v>
      </c>
      <c r="AN25" s="24">
        <f>AL25/AM25</f>
        <v>3</v>
      </c>
      <c r="AR25" s="24" cm="1">
        <f t="array" ref="AR25:AR27">MMULT(C.8,P.8)</f>
        <v>1.2857142857142856</v>
      </c>
      <c r="AS25" s="24">
        <f>AVERAGE(AS18:AU18)</f>
        <v>0.42857142857142855</v>
      </c>
      <c r="AT25" s="24">
        <f>AR25/AS25</f>
        <v>3</v>
      </c>
      <c r="AX25" s="24" cm="1">
        <f t="array" ref="AX25:AX27">MMULT(C.9,P.9)</f>
        <v>1.9456212064907716</v>
      </c>
      <c r="AY25" s="24">
        <f>AVERAGE(AY18:BA18)</f>
        <v>0.63334572030224201</v>
      </c>
      <c r="AZ25" s="24">
        <f>AX25/AY25</f>
        <v>3.0719734011343633</v>
      </c>
      <c r="BD25" s="24" cm="1">
        <f t="array" ref="BD25:BD27">MMULT(C.10,P.10)</f>
        <v>2.2725915368692524</v>
      </c>
      <c r="BE25" s="24">
        <f>AVERAGE(BE18:BG18)</f>
        <v>0.72350605721266426</v>
      </c>
      <c r="BF25" s="24">
        <f>BD25/BE25</f>
        <v>3.1410815627784809</v>
      </c>
    </row>
    <row r="26" spans="2:60" x14ac:dyDescent="0.3">
      <c r="B26" s="24">
        <v>0.58781091994977774</v>
      </c>
      <c r="C26" s="24">
        <f t="shared" ref="C26:C27" si="69">AVERAGE(C19:E19)</f>
        <v>0.19318605992738133</v>
      </c>
      <c r="D26" s="24">
        <f t="shared" ref="D26:D27" si="70">B26/C26</f>
        <v>3.0427191287546109</v>
      </c>
      <c r="H26" s="24">
        <v>0.42857142857142855</v>
      </c>
      <c r="I26" s="24">
        <f t="shared" ref="I26:I27" si="71">AVERAGE(I19:K19)</f>
        <v>0.14285714285714288</v>
      </c>
      <c r="J26" s="24">
        <f t="shared" ref="J26:J27" si="72">H26/I26</f>
        <v>2.9999999999999996</v>
      </c>
      <c r="N26" s="24">
        <v>0.79008216689376121</v>
      </c>
      <c r="O26" s="24">
        <f>AVERAGE(O19:Q19)</f>
        <v>0.26049795615013011</v>
      </c>
      <c r="P26" s="24">
        <f t="shared" ref="P26:P27" si="73">N26/O26</f>
        <v>3.0329687747662071</v>
      </c>
      <c r="T26" s="24">
        <v>0.60000000000000009</v>
      </c>
      <c r="U26" s="24">
        <f>AVERAGE(U19:W19)</f>
        <v>0.20000000000000004</v>
      </c>
      <c r="V26" s="24">
        <f t="shared" ref="V26:V27" si="74">T26/U26</f>
        <v>3</v>
      </c>
      <c r="Z26" s="24">
        <v>1</v>
      </c>
      <c r="AA26" s="24">
        <f t="shared" ref="AA26:AA27" si="75">AVERAGE(AA19:AC19)</f>
        <v>0.33333333333333331</v>
      </c>
      <c r="AB26" s="24">
        <f t="shared" ref="AB26" si="76">Z26/AA26</f>
        <v>3</v>
      </c>
      <c r="AF26" s="24">
        <v>1</v>
      </c>
      <c r="AG26" s="24">
        <f t="shared" ref="AG26:AG27" si="77">AVERAGE(AG19:AI19)</f>
        <v>0.33333333333333331</v>
      </c>
      <c r="AH26" s="24">
        <f>AF26/AG26</f>
        <v>3</v>
      </c>
      <c r="AL26" s="24">
        <v>1</v>
      </c>
      <c r="AM26" s="24">
        <f t="shared" ref="AM26:AM27" si="78">AVERAGE(AM19:AO19)</f>
        <v>0.33333333333333331</v>
      </c>
      <c r="AN26" s="24">
        <f t="shared" ref="AN26:AN27" si="79">AL26/AM26</f>
        <v>3</v>
      </c>
      <c r="AR26" s="24">
        <v>1.2857142857142856</v>
      </c>
      <c r="AS26" s="24">
        <f t="shared" ref="AS26:AS27" si="80">AVERAGE(AS19:AU19)</f>
        <v>0.42857142857142855</v>
      </c>
      <c r="AT26" s="24">
        <f t="shared" ref="AT26:AT27" si="81">AR26/AS26</f>
        <v>3</v>
      </c>
      <c r="AX26" s="24">
        <v>0.31965811965811963</v>
      </c>
      <c r="AY26" s="24">
        <f t="shared" ref="AY26:AY27" si="82">AVERAGE(AY19:BA19)</f>
        <v>0.1061563235476279</v>
      </c>
      <c r="AZ26" s="24">
        <f t="shared" ref="AZ26:AZ27" si="83">AX26/AY26</f>
        <v>3.0112018669778293</v>
      </c>
      <c r="BD26" s="24">
        <v>0.58781091994977774</v>
      </c>
      <c r="BE26" s="24">
        <f t="shared" ref="BE26:BE27" si="84">AVERAGE(BE19:BG19)</f>
        <v>0.19318605992738133</v>
      </c>
      <c r="BF26" s="24">
        <f t="shared" ref="BF26:BF27" si="85">BD26/BE26</f>
        <v>3.0427191287546109</v>
      </c>
    </row>
    <row r="27" spans="2:60" x14ac:dyDescent="0.3">
      <c r="B27" s="24">
        <v>0.25106124434231936</v>
      </c>
      <c r="C27" s="28">
        <f t="shared" si="69"/>
        <v>8.3307882859954524E-2</v>
      </c>
      <c r="D27" s="28">
        <f t="shared" si="70"/>
        <v>3.0136553195616331</v>
      </c>
      <c r="H27" s="24">
        <v>1.2857142857142858</v>
      </c>
      <c r="I27" s="24">
        <f t="shared" si="71"/>
        <v>0.4285714285714286</v>
      </c>
      <c r="J27" s="24">
        <f t="shared" si="72"/>
        <v>3</v>
      </c>
      <c r="N27" s="24">
        <v>0.31965811965811969</v>
      </c>
      <c r="O27" s="24">
        <f t="shared" ref="O27" si="86">AVERAGE(O20:Q20)</f>
        <v>0.1061563235476279</v>
      </c>
      <c r="P27" s="24">
        <f t="shared" si="73"/>
        <v>3.0112018669778298</v>
      </c>
      <c r="T27" s="24">
        <v>1.8000000000000003</v>
      </c>
      <c r="U27" s="24">
        <f t="shared" ref="U27" si="87">AVERAGE(U20:W20)</f>
        <v>0.6</v>
      </c>
      <c r="V27" s="24">
        <f t="shared" si="74"/>
        <v>3.0000000000000004</v>
      </c>
      <c r="Z27" s="24">
        <v>1</v>
      </c>
      <c r="AA27" s="24">
        <f t="shared" si="75"/>
        <v>0.33333333333333331</v>
      </c>
      <c r="AB27" s="24">
        <f>Z27/AA27</f>
        <v>3</v>
      </c>
      <c r="AF27" s="24">
        <v>1</v>
      </c>
      <c r="AG27" s="24">
        <f t="shared" si="77"/>
        <v>0.33333333333333331</v>
      </c>
      <c r="AH27" s="24">
        <f t="shared" ref="AH27" si="88">AF27/AG27</f>
        <v>3</v>
      </c>
      <c r="AL27" s="24">
        <v>1</v>
      </c>
      <c r="AM27" s="24">
        <f t="shared" si="78"/>
        <v>0.33333333333333331</v>
      </c>
      <c r="AN27" s="24">
        <f t="shared" si="79"/>
        <v>3</v>
      </c>
      <c r="AR27" s="24">
        <v>0.42857142857142855</v>
      </c>
      <c r="AS27" s="24">
        <f t="shared" si="80"/>
        <v>0.14285714285714285</v>
      </c>
      <c r="AT27" s="24">
        <f t="shared" si="81"/>
        <v>3</v>
      </c>
      <c r="AX27" s="24">
        <v>0.7900821668937611</v>
      </c>
      <c r="AY27" s="24">
        <f t="shared" si="82"/>
        <v>0.26049795615013005</v>
      </c>
      <c r="AZ27" s="24">
        <f t="shared" si="83"/>
        <v>3.0329687747662071</v>
      </c>
      <c r="BD27" s="24">
        <v>0.25106124434231936</v>
      </c>
      <c r="BE27" s="24">
        <f t="shared" si="84"/>
        <v>8.3307882859954524E-2</v>
      </c>
      <c r="BF27" s="24">
        <f t="shared" si="85"/>
        <v>3.0136553195616331</v>
      </c>
    </row>
    <row r="28" spans="2:60" x14ac:dyDescent="0.3">
      <c r="C28" s="7" t="s">
        <v>56</v>
      </c>
      <c r="D28" s="24">
        <f>AVERAGE(D25:D27)</f>
        <v>3.0658186703649086</v>
      </c>
      <c r="I28" s="7" t="s">
        <v>56</v>
      </c>
      <c r="J28" s="24">
        <f>AVERAGE(J25:J27)</f>
        <v>3</v>
      </c>
      <c r="O28" s="7" t="s">
        <v>56</v>
      </c>
      <c r="P28" s="24">
        <f>AVERAGE(P25:P27)</f>
        <v>3.0387146809594667</v>
      </c>
      <c r="U28" s="7" t="s">
        <v>56</v>
      </c>
      <c r="V28" s="24">
        <f>AVERAGE(V25:V27)</f>
        <v>3</v>
      </c>
      <c r="AA28" s="7" t="s">
        <v>56</v>
      </c>
      <c r="AB28" s="24">
        <f>AVERAGE(AB25:AB27)</f>
        <v>3</v>
      </c>
      <c r="AG28" s="7" t="s">
        <v>56</v>
      </c>
      <c r="AH28" s="24">
        <f>AVERAGE(AH25:AH27)</f>
        <v>3</v>
      </c>
      <c r="AM28" s="7" t="s">
        <v>56</v>
      </c>
      <c r="AN28" s="24">
        <f>AVERAGE(AN25:AN27)</f>
        <v>3</v>
      </c>
      <c r="AS28" s="7" t="s">
        <v>56</v>
      </c>
      <c r="AT28" s="24">
        <f>AVERAGE(AT25:AT27)</f>
        <v>3</v>
      </c>
      <c r="AY28" s="7" t="s">
        <v>56</v>
      </c>
      <c r="AZ28" s="24">
        <f>AVERAGE(AZ25:AZ27)</f>
        <v>3.0387146809594667</v>
      </c>
      <c r="BE28" s="7" t="s">
        <v>56</v>
      </c>
      <c r="BF28" s="24">
        <f>AVERAGE(BF25:BF27)</f>
        <v>3.0658186703649086</v>
      </c>
    </row>
    <row r="30" spans="2:60" x14ac:dyDescent="0.3">
      <c r="B30" s="7" t="s">
        <v>57</v>
      </c>
      <c r="C30" s="23">
        <v>3</v>
      </c>
      <c r="H30" s="7" t="s">
        <v>57</v>
      </c>
      <c r="I30" s="23">
        <v>3</v>
      </c>
      <c r="N30" s="7" t="s">
        <v>57</v>
      </c>
      <c r="O30" s="23">
        <v>3</v>
      </c>
      <c r="T30" s="7" t="s">
        <v>57</v>
      </c>
      <c r="U30" s="23">
        <v>3</v>
      </c>
      <c r="Z30" s="7" t="s">
        <v>57</v>
      </c>
      <c r="AA30" s="23">
        <v>3</v>
      </c>
      <c r="AF30" s="7" t="s">
        <v>57</v>
      </c>
      <c r="AG30" s="23">
        <v>3</v>
      </c>
      <c r="AL30" s="7" t="s">
        <v>57</v>
      </c>
      <c r="AM30" s="23">
        <v>3</v>
      </c>
      <c r="AR30" s="7" t="s">
        <v>57</v>
      </c>
      <c r="AS30" s="23">
        <v>3</v>
      </c>
      <c r="AX30" s="7" t="s">
        <v>57</v>
      </c>
      <c r="AY30" s="23">
        <v>3</v>
      </c>
      <c r="BD30" s="7" t="s">
        <v>57</v>
      </c>
      <c r="BE30" s="23">
        <v>3</v>
      </c>
    </row>
    <row r="31" spans="2:60" x14ac:dyDescent="0.3">
      <c r="B31" s="7" t="s">
        <v>58</v>
      </c>
      <c r="C31" s="11">
        <f>(D28-C30)/(C30-1)</f>
        <v>3.2909335182454313E-2</v>
      </c>
      <c r="H31" s="7" t="s">
        <v>58</v>
      </c>
      <c r="I31" s="11">
        <f>(J28-I30)/(I30-1)</f>
        <v>0</v>
      </c>
      <c r="N31" s="7" t="s">
        <v>58</v>
      </c>
      <c r="O31" s="11">
        <f>(P28-O30)/(O30-1)</f>
        <v>1.9357340479733365E-2</v>
      </c>
      <c r="T31" s="7" t="s">
        <v>58</v>
      </c>
      <c r="U31" s="11">
        <f>(V28-U30)/(U30-1)</f>
        <v>0</v>
      </c>
      <c r="Z31" s="7" t="s">
        <v>58</v>
      </c>
      <c r="AA31" s="11">
        <f>(AB28-AA30)/(AA30-1)</f>
        <v>0</v>
      </c>
      <c r="AF31" s="7" t="s">
        <v>58</v>
      </c>
      <c r="AG31" s="11">
        <f>(AH28-AG30)/(AG30-1)</f>
        <v>0</v>
      </c>
      <c r="AL31" s="7" t="s">
        <v>58</v>
      </c>
      <c r="AM31" s="11">
        <f>(AN28-AM30)/(AM30-1)</f>
        <v>0</v>
      </c>
      <c r="AR31" s="7" t="s">
        <v>58</v>
      </c>
      <c r="AS31" s="11">
        <f>(AT28-AS30)/(AS30-1)</f>
        <v>0</v>
      </c>
      <c r="AX31" s="7" t="s">
        <v>58</v>
      </c>
      <c r="AY31" s="11">
        <f>(AZ28-AY30)/(AY30-1)</f>
        <v>1.9357340479733365E-2</v>
      </c>
      <c r="BD31" s="7" t="s">
        <v>58</v>
      </c>
      <c r="BE31" s="11">
        <f>(BF28-BE30)/(BE30-1)</f>
        <v>3.2909335182454313E-2</v>
      </c>
    </row>
    <row r="32" spans="2:60" x14ac:dyDescent="0.3">
      <c r="B32" s="7" t="s">
        <v>59</v>
      </c>
      <c r="C32" s="11">
        <v>0.52</v>
      </c>
      <c r="H32" s="7" t="s">
        <v>59</v>
      </c>
      <c r="I32" s="11">
        <v>0.52</v>
      </c>
      <c r="N32" s="7" t="s">
        <v>59</v>
      </c>
      <c r="O32" s="11">
        <v>0.52</v>
      </c>
      <c r="T32" s="7" t="s">
        <v>59</v>
      </c>
      <c r="U32" s="11">
        <v>0.52</v>
      </c>
      <c r="Z32" s="7" t="s">
        <v>59</v>
      </c>
      <c r="AA32" s="11">
        <v>0.52</v>
      </c>
      <c r="AF32" s="7" t="s">
        <v>59</v>
      </c>
      <c r="AG32" s="11">
        <v>0.52</v>
      </c>
      <c r="AL32" s="7" t="s">
        <v>59</v>
      </c>
      <c r="AM32" s="11">
        <v>0.52</v>
      </c>
      <c r="AR32" s="7" t="s">
        <v>59</v>
      </c>
      <c r="AS32" s="11">
        <v>0.52</v>
      </c>
      <c r="AX32" s="7" t="s">
        <v>59</v>
      </c>
      <c r="AY32" s="11">
        <v>0.52</v>
      </c>
      <c r="BD32" s="7" t="s">
        <v>59</v>
      </c>
      <c r="BE32" s="11">
        <v>0.52</v>
      </c>
    </row>
    <row r="33" spans="2:57" x14ac:dyDescent="0.3">
      <c r="B33" s="7" t="s">
        <v>60</v>
      </c>
      <c r="C33" s="21">
        <f>C31/C32</f>
        <v>6.3287183043181372E-2</v>
      </c>
      <c r="H33" s="7" t="s">
        <v>60</v>
      </c>
      <c r="I33" s="21">
        <f>I31/I32</f>
        <v>0</v>
      </c>
      <c r="N33" s="7" t="s">
        <v>60</v>
      </c>
      <c r="O33" s="21">
        <f>O31/O32</f>
        <v>3.722565476871801E-2</v>
      </c>
      <c r="T33" s="7" t="s">
        <v>60</v>
      </c>
      <c r="U33" s="21">
        <f>U31/U32</f>
        <v>0</v>
      </c>
      <c r="Z33" s="7" t="s">
        <v>60</v>
      </c>
      <c r="AA33" s="21">
        <f>AA31/AA32</f>
        <v>0</v>
      </c>
      <c r="AF33" s="7" t="s">
        <v>60</v>
      </c>
      <c r="AG33" s="21">
        <f>AG31/AG32</f>
        <v>0</v>
      </c>
      <c r="AL33" s="7" t="s">
        <v>60</v>
      </c>
      <c r="AM33" s="21">
        <f>AM31/AM32</f>
        <v>0</v>
      </c>
      <c r="AR33" s="7" t="s">
        <v>60</v>
      </c>
      <c r="AS33" s="21">
        <f>AS31/AS32</f>
        <v>0</v>
      </c>
      <c r="AX33" s="7" t="s">
        <v>60</v>
      </c>
      <c r="AY33" s="21">
        <f>AY31/AY32</f>
        <v>3.722565476871801E-2</v>
      </c>
      <c r="BD33" s="7" t="s">
        <v>60</v>
      </c>
      <c r="BE33" s="21">
        <f>BE31/BE32</f>
        <v>6.3287183043181372E-2</v>
      </c>
    </row>
  </sheetData>
  <mergeCells count="20">
    <mergeCell ref="AL8:AO8"/>
    <mergeCell ref="B16:F16"/>
    <mergeCell ref="B8:E8"/>
    <mergeCell ref="H8:K8"/>
    <mergeCell ref="N8:Q8"/>
    <mergeCell ref="T8:W8"/>
    <mergeCell ref="Z8:AC8"/>
    <mergeCell ref="AF8:AI8"/>
    <mergeCell ref="H16:L16"/>
    <mergeCell ref="N16:R16"/>
    <mergeCell ref="T16:X16"/>
    <mergeCell ref="Z16:AD16"/>
    <mergeCell ref="AF16:AJ16"/>
    <mergeCell ref="AL16:AP16"/>
    <mergeCell ref="AR8:AU8"/>
    <mergeCell ref="AR16:AV16"/>
    <mergeCell ref="AX8:BA8"/>
    <mergeCell ref="AX16:BB16"/>
    <mergeCell ref="BD8:BG8"/>
    <mergeCell ref="BD16:BH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82A6-5361-47DA-8626-FA09106D6E47}">
  <dimension ref="A2:E18"/>
  <sheetViews>
    <sheetView workbookViewId="0">
      <selection activeCell="G7" sqref="G7"/>
    </sheetView>
  </sheetViews>
  <sheetFormatPr defaultRowHeight="14.4" x14ac:dyDescent="0.3"/>
  <cols>
    <col min="2" max="2" width="34.5546875" bestFit="1" customWidth="1"/>
  </cols>
  <sheetData>
    <row r="2" spans="1:5" x14ac:dyDescent="0.3">
      <c r="B2" s="130" t="s">
        <v>61</v>
      </c>
      <c r="C2" s="130"/>
      <c r="D2" s="130"/>
      <c r="E2" s="130"/>
    </row>
    <row r="3" spans="1:5" x14ac:dyDescent="0.3">
      <c r="B3" s="38" t="s">
        <v>13</v>
      </c>
      <c r="C3" s="38" t="s">
        <v>128</v>
      </c>
      <c r="D3" s="38" t="s">
        <v>129</v>
      </c>
      <c r="E3" s="38" t="s">
        <v>130</v>
      </c>
    </row>
    <row r="4" spans="1:5" x14ac:dyDescent="0.3">
      <c r="B4" s="58" t="s">
        <v>106</v>
      </c>
      <c r="C4" s="40" cm="1">
        <f t="array" ref="C4:E4">TRANSPOSE(P.1)</f>
        <v>0.72350605721266426</v>
      </c>
      <c r="D4" s="40">
        <v>0.19318605992738133</v>
      </c>
      <c r="E4" s="40">
        <v>8.3307882859954524E-2</v>
      </c>
    </row>
    <row r="5" spans="1:5" x14ac:dyDescent="0.3">
      <c r="B5" s="58" t="s">
        <v>107</v>
      </c>
      <c r="C5" s="40" cm="1">
        <f t="array" ref="C5:E5">TRANSPOSE(P.2)</f>
        <v>0.4285714285714286</v>
      </c>
      <c r="D5" s="40">
        <v>0.14285714285714288</v>
      </c>
      <c r="E5" s="40">
        <v>0.4285714285714286</v>
      </c>
    </row>
    <row r="6" spans="1:5" x14ac:dyDescent="0.3">
      <c r="B6" s="58" t="s">
        <v>68</v>
      </c>
      <c r="C6" s="40" cm="1">
        <f t="array" ref="C6:E6">TRANSPOSE(P.3)</f>
        <v>0.63334572030224201</v>
      </c>
      <c r="D6" s="40">
        <v>0.26049795615013011</v>
      </c>
      <c r="E6" s="40">
        <v>0.1061563235476279</v>
      </c>
    </row>
    <row r="7" spans="1:5" x14ac:dyDescent="0.3">
      <c r="B7" s="58" t="s">
        <v>131</v>
      </c>
      <c r="C7" s="40" cm="1">
        <f t="array" ref="C7:E7">TRANSPOSE(P.4)</f>
        <v>0.20000000000000004</v>
      </c>
      <c r="D7" s="40">
        <v>0.20000000000000004</v>
      </c>
      <c r="E7" s="40">
        <v>0.6</v>
      </c>
    </row>
    <row r="8" spans="1:5" x14ac:dyDescent="0.3">
      <c r="B8" s="58" t="s">
        <v>133</v>
      </c>
      <c r="C8" s="40" cm="1">
        <f t="array" ref="C8:E8">TRANSPOSE(P.5)</f>
        <v>0.33333333333333331</v>
      </c>
      <c r="D8" s="40">
        <v>0.33333333333333331</v>
      </c>
      <c r="E8" s="40">
        <v>0.33333333333333331</v>
      </c>
    </row>
    <row r="9" spans="1:5" x14ac:dyDescent="0.3">
      <c r="B9" s="58" t="s">
        <v>126</v>
      </c>
      <c r="C9" s="40" cm="1">
        <f t="array" ref="C9:E9">TRANSPOSE(P.6)</f>
        <v>0.33333333333333331</v>
      </c>
      <c r="D9" s="40">
        <v>0.33333333333333331</v>
      </c>
      <c r="E9" s="40">
        <v>0.33333333333333331</v>
      </c>
    </row>
    <row r="10" spans="1:5" x14ac:dyDescent="0.3">
      <c r="B10" s="58" t="s">
        <v>76</v>
      </c>
      <c r="C10" s="40" cm="1">
        <f t="array" ref="C10:E10">TRANSPOSE(P.7)</f>
        <v>0.33333333333333331</v>
      </c>
      <c r="D10" s="40">
        <v>0.33333333333333331</v>
      </c>
      <c r="E10" s="40">
        <v>0.33333333333333331</v>
      </c>
    </row>
    <row r="11" spans="1:5" x14ac:dyDescent="0.3">
      <c r="B11" s="59" t="s">
        <v>77</v>
      </c>
      <c r="C11" s="40" cm="1">
        <f t="array" ref="C11:E11">TRANSPOSE(P.8)</f>
        <v>0.42857142857142855</v>
      </c>
      <c r="D11" s="43">
        <v>0.42857142857142855</v>
      </c>
      <c r="E11" s="43">
        <v>0.14285714285714285</v>
      </c>
    </row>
    <row r="12" spans="1:5" x14ac:dyDescent="0.3">
      <c r="B12" s="59" t="s">
        <v>105</v>
      </c>
      <c r="C12" s="40" cm="1">
        <f t="array" ref="C12:E12">TRANSPOSE(P.9)</f>
        <v>0.63334572030224201</v>
      </c>
      <c r="D12" s="43">
        <v>0.1061563235476279</v>
      </c>
      <c r="E12" s="43">
        <v>0.26049795615013005</v>
      </c>
    </row>
    <row r="13" spans="1:5" x14ac:dyDescent="0.3">
      <c r="B13" s="59" t="s">
        <v>85</v>
      </c>
      <c r="C13" s="40" cm="1">
        <f t="array" ref="C13:E13">TRANSPOSE(P.10)</f>
        <v>0.72350605721266426</v>
      </c>
      <c r="D13" s="43">
        <v>0.19318605992738133</v>
      </c>
      <c r="E13" s="43">
        <v>8.3307882859954524E-2</v>
      </c>
    </row>
    <row r="16" spans="1:5" x14ac:dyDescent="0.3">
      <c r="A16" s="2" t="s">
        <v>92</v>
      </c>
    </row>
    <row r="17" spans="1:1" x14ac:dyDescent="0.3">
      <c r="A17" s="2" t="s">
        <v>87</v>
      </c>
    </row>
    <row r="18" spans="1:1" x14ac:dyDescent="0.3">
      <c r="A18" s="2" t="s">
        <v>91</v>
      </c>
    </row>
  </sheetData>
  <mergeCells count="1">
    <mergeCell ref="B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855C-0C4F-4FAA-80F9-91676BDBEA15}">
  <dimension ref="A2:S20"/>
  <sheetViews>
    <sheetView workbookViewId="0">
      <selection activeCell="E13" sqref="E13"/>
    </sheetView>
  </sheetViews>
  <sheetFormatPr defaultRowHeight="14.4" x14ac:dyDescent="0.3"/>
  <cols>
    <col min="3" max="3" width="20.44140625" bestFit="1" customWidth="1"/>
    <col min="4" max="4" width="13.6640625" bestFit="1" customWidth="1"/>
    <col min="5" max="5" width="15.5546875" bestFit="1" customWidth="1"/>
    <col min="6" max="6" width="16" bestFit="1" customWidth="1"/>
    <col min="7" max="7" width="14.88671875" customWidth="1"/>
    <col min="8" max="8" width="20.5546875" bestFit="1" customWidth="1"/>
    <col min="9" max="9" width="29.5546875" bestFit="1" customWidth="1"/>
    <col min="10" max="10" width="14.5546875" customWidth="1"/>
    <col min="11" max="11" width="12.5546875" bestFit="1" customWidth="1"/>
    <col min="12" max="12" width="16.6640625" customWidth="1"/>
  </cols>
  <sheetData>
    <row r="2" spans="2:19" ht="29.25" customHeight="1" x14ac:dyDescent="0.3">
      <c r="N2" s="44" t="s">
        <v>62</v>
      </c>
    </row>
    <row r="3" spans="2:19" x14ac:dyDescent="0.3">
      <c r="B3" s="130" t="s">
        <v>63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N3" s="40" cm="1">
        <f t="array" ref="N3:N12">Wtest</f>
        <v>1.5050236596206515E-2</v>
      </c>
    </row>
    <row r="4" spans="2:19" ht="43.2" x14ac:dyDescent="0.3">
      <c r="B4" s="44" t="s">
        <v>64</v>
      </c>
      <c r="C4" s="46" t="s">
        <v>135</v>
      </c>
      <c r="D4" s="46" t="s">
        <v>136</v>
      </c>
      <c r="E4" s="46" t="s">
        <v>137</v>
      </c>
      <c r="F4" s="46" t="s">
        <v>138</v>
      </c>
      <c r="G4" s="46" t="s">
        <v>139</v>
      </c>
      <c r="H4" s="46" t="s">
        <v>140</v>
      </c>
      <c r="I4" s="46" t="s">
        <v>141</v>
      </c>
      <c r="J4" s="46" t="s">
        <v>142</v>
      </c>
      <c r="K4" s="45" t="s">
        <v>105</v>
      </c>
      <c r="L4" s="46" t="s">
        <v>143</v>
      </c>
      <c r="M4" s="27"/>
      <c r="N4" s="40">
        <v>1.4721289227785461E-2</v>
      </c>
    </row>
    <row r="5" spans="2:19" x14ac:dyDescent="0.3">
      <c r="B5" s="38" t="s">
        <v>128</v>
      </c>
      <c r="C5" s="40" cm="1">
        <f t="array" ref="C5:L7">TRANSPOSE(FinalRating)</f>
        <v>0.72350605721266426</v>
      </c>
      <c r="D5" s="40">
        <v>0.4285714285714286</v>
      </c>
      <c r="E5" s="40">
        <v>0.63334572030224201</v>
      </c>
      <c r="F5" s="40">
        <v>0.20000000000000004</v>
      </c>
      <c r="G5" s="40">
        <v>0.33333333333333331</v>
      </c>
      <c r="H5" s="40">
        <v>0.33333333333333331</v>
      </c>
      <c r="I5" s="40">
        <v>0.33333333333333331</v>
      </c>
      <c r="J5" s="40">
        <v>0.42857142857142855</v>
      </c>
      <c r="K5" s="40">
        <v>0.63334572030224201</v>
      </c>
      <c r="L5" s="40">
        <v>0.72350605721266426</v>
      </c>
      <c r="M5" s="29" t="s">
        <v>65</v>
      </c>
      <c r="N5" s="40">
        <v>0.10672616860397563</v>
      </c>
    </row>
    <row r="6" spans="2:19" x14ac:dyDescent="0.3">
      <c r="B6" s="38" t="s">
        <v>129</v>
      </c>
      <c r="C6" s="40">
        <v>0.19318605992738133</v>
      </c>
      <c r="D6" s="40">
        <v>0.14285714285714288</v>
      </c>
      <c r="E6" s="40">
        <v>0.26049795615013011</v>
      </c>
      <c r="F6" s="40">
        <v>0.20000000000000004</v>
      </c>
      <c r="G6" s="40">
        <v>0.33333333333333331</v>
      </c>
      <c r="H6" s="40">
        <v>0.33333333333333331</v>
      </c>
      <c r="I6" s="40">
        <v>0.33333333333333331</v>
      </c>
      <c r="J6" s="40">
        <v>0.42857142857142855</v>
      </c>
      <c r="K6" s="40">
        <v>0.1061563235476279</v>
      </c>
      <c r="L6" s="40">
        <v>0.19318605992738133</v>
      </c>
      <c r="N6" s="40">
        <v>0.2183826959186041</v>
      </c>
    </row>
    <row r="7" spans="2:19" x14ac:dyDescent="0.3">
      <c r="B7" s="38" t="s">
        <v>130</v>
      </c>
      <c r="C7" s="40">
        <v>8.3307882859954524E-2</v>
      </c>
      <c r="D7" s="40">
        <v>0.4285714285714286</v>
      </c>
      <c r="E7" s="40">
        <v>0.1061563235476279</v>
      </c>
      <c r="F7" s="40">
        <v>0.6</v>
      </c>
      <c r="G7" s="40">
        <v>0.33333333333333331</v>
      </c>
      <c r="H7" s="40">
        <v>0.33333333333333331</v>
      </c>
      <c r="I7" s="40">
        <v>0.33333333333333331</v>
      </c>
      <c r="J7" s="40">
        <v>0.14285714285714285</v>
      </c>
      <c r="K7" s="40">
        <v>0.26049795615013005</v>
      </c>
      <c r="L7" s="40">
        <v>8.3307882859954524E-2</v>
      </c>
      <c r="N7" s="40">
        <v>0.191104193720737</v>
      </c>
      <c r="P7" s="131"/>
      <c r="Q7" s="131"/>
      <c r="R7" s="131"/>
      <c r="S7" s="131"/>
    </row>
    <row r="8" spans="2:19" x14ac:dyDescent="0.3">
      <c r="N8" s="40">
        <v>0.20589755917663025</v>
      </c>
      <c r="P8" s="10"/>
      <c r="Q8" s="10"/>
      <c r="R8" s="10"/>
      <c r="S8" s="10"/>
    </row>
    <row r="9" spans="2:19" x14ac:dyDescent="0.3">
      <c r="N9" s="40">
        <v>9.9119057382209816E-2</v>
      </c>
      <c r="P9" s="26"/>
      <c r="Q9" s="15"/>
      <c r="R9" s="15"/>
      <c r="S9" s="15"/>
    </row>
    <row r="10" spans="2:19" x14ac:dyDescent="0.3">
      <c r="N10" s="43">
        <v>3.1419151479485201E-2</v>
      </c>
      <c r="P10" s="26"/>
      <c r="Q10" s="15"/>
      <c r="R10" s="15"/>
      <c r="S10" s="15"/>
    </row>
    <row r="11" spans="2:19" x14ac:dyDescent="0.3">
      <c r="N11" s="43">
        <v>3.6352569306572283E-2</v>
      </c>
      <c r="P11" s="26"/>
      <c r="Q11" s="15"/>
      <c r="R11" s="15"/>
      <c r="S11" s="15"/>
    </row>
    <row r="12" spans="2:19" x14ac:dyDescent="0.3">
      <c r="N12" s="43">
        <v>8.1227078587793752E-2</v>
      </c>
      <c r="P12" s="26"/>
      <c r="Q12" s="15"/>
      <c r="R12" s="15"/>
      <c r="S12" s="15"/>
    </row>
    <row r="13" spans="2:19" x14ac:dyDescent="0.3">
      <c r="B13" s="38" t="s">
        <v>66</v>
      </c>
      <c r="C13" s="38" t="s">
        <v>67</v>
      </c>
      <c r="P13" s="26"/>
      <c r="Q13" s="15"/>
      <c r="R13" s="15"/>
      <c r="S13" s="15"/>
    </row>
    <row r="14" spans="2:19" x14ac:dyDescent="0.3">
      <c r="B14" s="103" t="s">
        <v>95</v>
      </c>
      <c r="C14" s="104" cm="1">
        <f t="array" ref="C14:C16">MMULT(TRANSPOSE(FinalRating),Wtest)</f>
        <v>0.38910014422876538</v>
      </c>
      <c r="P14" s="26"/>
      <c r="Q14" s="15"/>
      <c r="R14" s="15"/>
      <c r="S14" s="15"/>
    </row>
    <row r="15" spans="2:19" x14ac:dyDescent="0.3">
      <c r="B15" s="41" t="s">
        <v>14</v>
      </c>
      <c r="C15" s="42">
        <v>0.2748789736415162</v>
      </c>
      <c r="P15" s="26"/>
      <c r="Q15" s="15"/>
      <c r="R15" s="15"/>
      <c r="S15" s="15"/>
    </row>
    <row r="16" spans="2:19" x14ac:dyDescent="0.3">
      <c r="B16" s="41" t="s">
        <v>99</v>
      </c>
      <c r="C16" s="42">
        <v>0.33602088212971837</v>
      </c>
    </row>
    <row r="17" spans="1:15" x14ac:dyDescent="0.3">
      <c r="C17" s="25"/>
    </row>
    <row r="18" spans="1:15" x14ac:dyDescent="0.3">
      <c r="A18" s="48" t="s">
        <v>92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"/>
      <c r="M18" s="4"/>
      <c r="N18" s="4"/>
      <c r="O18" s="4"/>
    </row>
    <row r="19" spans="1:15" x14ac:dyDescent="0.3">
      <c r="A19" s="2" t="s">
        <v>87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">
      <c r="A20" s="2" t="s">
        <v>91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2">
    <mergeCell ref="P7:S7"/>
    <mergeCell ref="B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FAC38907208499A147B10BF43AE95" ma:contentTypeVersion="17" ma:contentTypeDescription="Create a new document." ma:contentTypeScope="" ma:versionID="0a6757042ebda4c363202d974222d1b6">
  <xsd:schema xmlns:xsd="http://www.w3.org/2001/XMLSchema" xmlns:xs="http://www.w3.org/2001/XMLSchema" xmlns:p="http://schemas.microsoft.com/office/2006/metadata/properties" xmlns:ns3="a88c2edd-0144-472d-b31a-e1139f550a4e" xmlns:ns4="5218dfdd-f6ca-45d6-981b-722c64b69af4" xmlns:ns5="d9c819a1-ddc7-4f61-8274-f77687898df1" targetNamespace="http://schemas.microsoft.com/office/2006/metadata/properties" ma:root="true" ma:fieldsID="8ab321853b07339fc3b98c9a41d47c6e" ns3:_="" ns4:_="" ns5:_="">
    <xsd:import namespace="a88c2edd-0144-472d-b31a-e1139f550a4e"/>
    <xsd:import namespace="5218dfdd-f6ca-45d6-981b-722c64b69af4"/>
    <xsd:import namespace="d9c819a1-ddc7-4f61-8274-f77687898d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5:_activity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c2edd-0144-472d-b31a-e1139f550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dfdd-f6ca-45d6-981b-722c64b69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819a1-ddc7-4f61-8274-f77687898df1" elementFormDefault="qualified">
    <xsd:import namespace="http://schemas.microsoft.com/office/2006/documentManagement/types"/>
    <xsd:import namespace="http://schemas.microsoft.com/office/infopath/2007/PartnerControls"/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c819a1-ddc7-4f61-8274-f77687898df1" xsi:nil="true"/>
  </documentManagement>
</p:properties>
</file>

<file path=customXml/itemProps1.xml><?xml version="1.0" encoding="utf-8"?>
<ds:datastoreItem xmlns:ds="http://schemas.openxmlformats.org/officeDocument/2006/customXml" ds:itemID="{06B84EE8-DCAA-46D4-8EC0-51FCFC9CE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F6CC1-6121-47A2-BAFD-77457DEC0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c2edd-0144-472d-b31a-e1139f550a4e"/>
    <ds:schemaRef ds:uri="5218dfdd-f6ca-45d6-981b-722c64b69af4"/>
    <ds:schemaRef ds:uri="d9c819a1-ddc7-4f61-8274-f77687898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3186A-797D-4560-A426-DF403D03D5B2}">
  <ds:schemaRefs>
    <ds:schemaRef ds:uri="d9c819a1-ddc7-4f61-8274-f77687898df1"/>
    <ds:schemaRef ds:uri="http://www.w3.org/XML/1998/namespace"/>
    <ds:schemaRef ds:uri="http://schemas.microsoft.com/office/infopath/2007/PartnerControls"/>
    <ds:schemaRef ds:uri="5218dfdd-f6ca-45d6-981b-722c64b69af4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a88c2edd-0144-472d-b31a-e1139f550a4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Binary Pairwise Comparison</vt:lpstr>
      <vt:lpstr>HOQ</vt:lpstr>
      <vt:lpstr>Pugh Chart #1</vt:lpstr>
      <vt:lpstr>Pugh Chart #2</vt:lpstr>
      <vt:lpstr>Pugh Chart #3</vt:lpstr>
      <vt:lpstr>AHP</vt:lpstr>
      <vt:lpstr>AHP Design Alternatives</vt:lpstr>
      <vt:lpstr>Final Rating Matrix</vt:lpstr>
      <vt:lpstr>Alternative Value</vt:lpstr>
      <vt:lpstr>C.1</vt:lpstr>
      <vt:lpstr>C.10</vt:lpstr>
      <vt:lpstr>C.2</vt:lpstr>
      <vt:lpstr>C.3</vt:lpstr>
      <vt:lpstr>C.4</vt:lpstr>
      <vt:lpstr>C.5</vt:lpstr>
      <vt:lpstr>C.6</vt:lpstr>
      <vt:lpstr>C.7</vt:lpstr>
      <vt:lpstr>C.8</vt:lpstr>
      <vt:lpstr>C.9</vt:lpstr>
      <vt:lpstr>CriteriaWeights</vt:lpstr>
      <vt:lpstr>Ctest</vt:lpstr>
      <vt:lpstr>FinalRating</vt:lpstr>
      <vt:lpstr>P.1</vt:lpstr>
      <vt:lpstr>P.10</vt:lpstr>
      <vt:lpstr>P.2</vt:lpstr>
      <vt:lpstr>P.3</vt:lpstr>
      <vt:lpstr>P.4</vt:lpstr>
      <vt:lpstr>P.5</vt:lpstr>
      <vt:lpstr>P.6</vt:lpstr>
      <vt:lpstr>P.7</vt:lpstr>
      <vt:lpstr>P.8</vt:lpstr>
      <vt:lpstr>P.9</vt:lpstr>
      <vt:lpstr>Wtest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Garcia</dc:creator>
  <cp:keywords/>
  <dc:description/>
  <cp:lastModifiedBy>Sean Hemstreet</cp:lastModifiedBy>
  <cp:revision/>
  <dcterms:created xsi:type="dcterms:W3CDTF">2022-11-08T22:01:29Z</dcterms:created>
  <dcterms:modified xsi:type="dcterms:W3CDTF">2023-11-12T21:53:08Z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0x010100E08FAC38907208499A147B10BF43AE95</vt:lpwstr>
  </property>
</Properties>
</file>